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reas\Desktop\1_Union\Budget\FY23\"/>
    </mc:Choice>
  </mc:AlternateContent>
  <xr:revisionPtr revIDLastSave="0" documentId="13_ncr:1_{9AD89380-AA93-4A2C-A212-4C264D65EB44}" xr6:coauthVersionLast="47" xr6:coauthVersionMax="47" xr10:uidLastSave="{00000000-0000-0000-0000-000000000000}"/>
  <bookViews>
    <workbookView xWindow="3195" yWindow="180" windowWidth="25275" windowHeight="13260" activeTab="1" xr2:uid="{00000000-000D-0000-FFFF-FFFF00000000}"/>
  </bookViews>
  <sheets>
    <sheet name="QuickBooks Desktop Export Tips" sheetId="1" r:id="rId1"/>
    <sheet name="22-23 proposal" sheetId="2" r:id="rId2"/>
    <sheet name="Sheet1" sheetId="4" r:id="rId3"/>
    <sheet name="6yr_comp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A2" i="4"/>
  <c r="AC132" i="3"/>
  <c r="AC133" i="3" s="1"/>
  <c r="Z132" i="3"/>
  <c r="Z133" i="3" s="1"/>
  <c r="Y132" i="3"/>
  <c r="Y133" i="3" s="1"/>
  <c r="AA133" i="3" s="1"/>
  <c r="V132" i="3"/>
  <c r="V133" i="3" s="1"/>
  <c r="U132" i="3"/>
  <c r="W132" i="3" s="1"/>
  <c r="R132" i="3"/>
  <c r="R133" i="3" s="1"/>
  <c r="T133" i="3" s="1"/>
  <c r="Q132" i="3"/>
  <c r="Q133" i="3" s="1"/>
  <c r="N132" i="3"/>
  <c r="N133" i="3" s="1"/>
  <c r="M132" i="3"/>
  <c r="M133" i="3" s="1"/>
  <c r="O133" i="3" s="1"/>
  <c r="J132" i="3"/>
  <c r="AM132" i="3" s="1"/>
  <c r="I132" i="3"/>
  <c r="K132" i="3" s="1"/>
  <c r="AN131" i="3"/>
  <c r="AM131" i="3"/>
  <c r="AK131" i="3"/>
  <c r="AH131" i="3"/>
  <c r="AJ131" i="3" s="1"/>
  <c r="AG131" i="3"/>
  <c r="AI131" i="3" s="1"/>
  <c r="AB131" i="3"/>
  <c r="AA131" i="3"/>
  <c r="X131" i="3"/>
  <c r="W131" i="3"/>
  <c r="T131" i="3"/>
  <c r="S131" i="3"/>
  <c r="P131" i="3"/>
  <c r="O131" i="3"/>
  <c r="L131" i="3"/>
  <c r="K131" i="3"/>
  <c r="AN130" i="3"/>
  <c r="AM130" i="3"/>
  <c r="AK130" i="3"/>
  <c r="AN129" i="3"/>
  <c r="AM129" i="3"/>
  <c r="AK129" i="3"/>
  <c r="AN126" i="3"/>
  <c r="AM126" i="3"/>
  <c r="AK126" i="3"/>
  <c r="AG126" i="3"/>
  <c r="AN125" i="3"/>
  <c r="AE125" i="3"/>
  <c r="AD125" i="3"/>
  <c r="AF125" i="3" s="1"/>
  <c r="AC125" i="3"/>
  <c r="AA125" i="3"/>
  <c r="Z125" i="3"/>
  <c r="AB125" i="3" s="1"/>
  <c r="Y125" i="3"/>
  <c r="X125" i="3"/>
  <c r="V125" i="3"/>
  <c r="W125" i="3" s="1"/>
  <c r="U125" i="3"/>
  <c r="S125" i="3"/>
  <c r="R125" i="3"/>
  <c r="T125" i="3" s="1"/>
  <c r="Q125" i="3"/>
  <c r="O125" i="3"/>
  <c r="N125" i="3"/>
  <c r="P125" i="3" s="1"/>
  <c r="M125" i="3"/>
  <c r="AK125" i="3" s="1"/>
  <c r="L125" i="3"/>
  <c r="J125" i="3"/>
  <c r="K125" i="3" s="1"/>
  <c r="I125" i="3"/>
  <c r="AG125" i="3" s="1"/>
  <c r="AN124" i="3"/>
  <c r="AM124" i="3"/>
  <c r="AK124" i="3"/>
  <c r="AH124" i="3"/>
  <c r="AJ124" i="3" s="1"/>
  <c r="AG124" i="3"/>
  <c r="AI124" i="3" s="1"/>
  <c r="X124" i="3"/>
  <c r="W124" i="3"/>
  <c r="T124" i="3"/>
  <c r="S124" i="3"/>
  <c r="P124" i="3"/>
  <c r="O124" i="3"/>
  <c r="AN123" i="3"/>
  <c r="AM123" i="3"/>
  <c r="AK123" i="3"/>
  <c r="AI123" i="3"/>
  <c r="AH123" i="3"/>
  <c r="AJ123" i="3" s="1"/>
  <c r="AG123" i="3"/>
  <c r="L123" i="3"/>
  <c r="K123" i="3"/>
  <c r="AN122" i="3"/>
  <c r="AM122" i="3"/>
  <c r="AK122" i="3"/>
  <c r="AJ122" i="3"/>
  <c r="AI122" i="3"/>
  <c r="AH122" i="3"/>
  <c r="AG122" i="3"/>
  <c r="X122" i="3"/>
  <c r="W122" i="3"/>
  <c r="T122" i="3"/>
  <c r="S122" i="3"/>
  <c r="P122" i="3"/>
  <c r="O122" i="3"/>
  <c r="L122" i="3"/>
  <c r="K122" i="3"/>
  <c r="AN121" i="3"/>
  <c r="AM121" i="3"/>
  <c r="AK121" i="3"/>
  <c r="AI121" i="3"/>
  <c r="AH121" i="3"/>
  <c r="AJ121" i="3" s="1"/>
  <c r="AG121" i="3"/>
  <c r="X121" i="3"/>
  <c r="W121" i="3"/>
  <c r="T121" i="3"/>
  <c r="S121" i="3"/>
  <c r="P121" i="3"/>
  <c r="O121" i="3"/>
  <c r="L121" i="3"/>
  <c r="K121" i="3"/>
  <c r="AN120" i="3"/>
  <c r="AM120" i="3"/>
  <c r="AK120" i="3"/>
  <c r="AI120" i="3"/>
  <c r="AH120" i="3"/>
  <c r="AG120" i="3"/>
  <c r="AJ120" i="3" s="1"/>
  <c r="AF120" i="3"/>
  <c r="AE120" i="3"/>
  <c r="AB120" i="3"/>
  <c r="AA120" i="3"/>
  <c r="X120" i="3"/>
  <c r="W120" i="3"/>
  <c r="T120" i="3"/>
  <c r="S120" i="3"/>
  <c r="P120" i="3"/>
  <c r="O120" i="3"/>
  <c r="L120" i="3"/>
  <c r="K120" i="3"/>
  <c r="AN119" i="3"/>
  <c r="AM119" i="3"/>
  <c r="AK119" i="3"/>
  <c r="AE117" i="3"/>
  <c r="AD117" i="3"/>
  <c r="AF117" i="3" s="1"/>
  <c r="AC117" i="3"/>
  <c r="Z117" i="3"/>
  <c r="AA117" i="3" s="1"/>
  <c r="Y117" i="3"/>
  <c r="W117" i="3"/>
  <c r="V117" i="3"/>
  <c r="AN117" i="3" s="1"/>
  <c r="U117" i="3"/>
  <c r="S117" i="3"/>
  <c r="R117" i="3"/>
  <c r="T117" i="3" s="1"/>
  <c r="Q117" i="3"/>
  <c r="N117" i="3"/>
  <c r="O117" i="3" s="1"/>
  <c r="M117" i="3"/>
  <c r="K117" i="3"/>
  <c r="J117" i="3"/>
  <c r="L117" i="3" s="1"/>
  <c r="I117" i="3"/>
  <c r="AK117" i="3" s="1"/>
  <c r="AN116" i="3"/>
  <c r="AM116" i="3"/>
  <c r="AK116" i="3"/>
  <c r="AH116" i="3"/>
  <c r="AG116" i="3"/>
  <c r="AJ116" i="3" s="1"/>
  <c r="AF116" i="3"/>
  <c r="AE116" i="3"/>
  <c r="AB116" i="3"/>
  <c r="AA116" i="3"/>
  <c r="X116" i="3"/>
  <c r="W116" i="3"/>
  <c r="T116" i="3"/>
  <c r="S116" i="3"/>
  <c r="P116" i="3"/>
  <c r="O116" i="3"/>
  <c r="L116" i="3"/>
  <c r="K116" i="3"/>
  <c r="AN115" i="3"/>
  <c r="AM115" i="3"/>
  <c r="AK115" i="3"/>
  <c r="AH115" i="3"/>
  <c r="AG115" i="3"/>
  <c r="AJ115" i="3" s="1"/>
  <c r="AF115" i="3"/>
  <c r="AE115" i="3"/>
  <c r="AB115" i="3"/>
  <c r="AA115" i="3"/>
  <c r="X115" i="3"/>
  <c r="W115" i="3"/>
  <c r="T115" i="3"/>
  <c r="S115" i="3"/>
  <c r="P115" i="3"/>
  <c r="O115" i="3"/>
  <c r="L115" i="3"/>
  <c r="K115" i="3"/>
  <c r="AN114" i="3"/>
  <c r="AM114" i="3"/>
  <c r="AK114" i="3"/>
  <c r="AJ114" i="3"/>
  <c r="AI114" i="3"/>
  <c r="AH114" i="3"/>
  <c r="AG114" i="3"/>
  <c r="AF114" i="3"/>
  <c r="AE114" i="3"/>
  <c r="AB114" i="3"/>
  <c r="AA114" i="3"/>
  <c r="X114" i="3"/>
  <c r="W114" i="3"/>
  <c r="AN113" i="3"/>
  <c r="AM113" i="3"/>
  <c r="AK113" i="3"/>
  <c r="AH113" i="3"/>
  <c r="AG113" i="3"/>
  <c r="AJ113" i="3" s="1"/>
  <c r="AF113" i="3"/>
  <c r="AE113" i="3"/>
  <c r="AB113" i="3"/>
  <c r="AA113" i="3"/>
  <c r="X113" i="3"/>
  <c r="W113" i="3"/>
  <c r="T113" i="3"/>
  <c r="S113" i="3"/>
  <c r="P113" i="3"/>
  <c r="O113" i="3"/>
  <c r="L113" i="3"/>
  <c r="K113" i="3"/>
  <c r="AN112" i="3"/>
  <c r="AM112" i="3"/>
  <c r="AK112" i="3"/>
  <c r="AJ112" i="3"/>
  <c r="AH112" i="3"/>
  <c r="AI112" i="3" s="1"/>
  <c r="AG112" i="3"/>
  <c r="AF112" i="3"/>
  <c r="AE112" i="3"/>
  <c r="AB112" i="3"/>
  <c r="AA112" i="3"/>
  <c r="X112" i="3"/>
  <c r="W112" i="3"/>
  <c r="T112" i="3"/>
  <c r="S112" i="3"/>
  <c r="P112" i="3"/>
  <c r="O112" i="3"/>
  <c r="L112" i="3"/>
  <c r="K112" i="3"/>
  <c r="AN111" i="3"/>
  <c r="AM111" i="3"/>
  <c r="AK111" i="3"/>
  <c r="AI111" i="3"/>
  <c r="AH111" i="3"/>
  <c r="AJ111" i="3" s="1"/>
  <c r="AG111" i="3"/>
  <c r="AF111" i="3"/>
  <c r="AE111" i="3"/>
  <c r="AB111" i="3"/>
  <c r="AA111" i="3"/>
  <c r="X111" i="3"/>
  <c r="W111" i="3"/>
  <c r="T111" i="3"/>
  <c r="S111" i="3"/>
  <c r="P111" i="3"/>
  <c r="O111" i="3"/>
  <c r="L111" i="3"/>
  <c r="K111" i="3"/>
  <c r="AN110" i="3"/>
  <c r="AM110" i="3"/>
  <c r="AK110" i="3"/>
  <c r="AH110" i="3"/>
  <c r="AG110" i="3"/>
  <c r="AJ110" i="3" s="1"/>
  <c r="AF110" i="3"/>
  <c r="AE110" i="3"/>
  <c r="AB110" i="3"/>
  <c r="AA110" i="3"/>
  <c r="X110" i="3"/>
  <c r="W110" i="3"/>
  <c r="T110" i="3"/>
  <c r="S110" i="3"/>
  <c r="P110" i="3"/>
  <c r="O110" i="3"/>
  <c r="L110" i="3"/>
  <c r="K110" i="3"/>
  <c r="AN109" i="3"/>
  <c r="AM109" i="3"/>
  <c r="AK109" i="3"/>
  <c r="AH109" i="3"/>
  <c r="AG109" i="3"/>
  <c r="AJ109" i="3" s="1"/>
  <c r="AF109" i="3"/>
  <c r="AE109" i="3"/>
  <c r="AB109" i="3"/>
  <c r="AA109" i="3"/>
  <c r="X109" i="3"/>
  <c r="W109" i="3"/>
  <c r="T109" i="3"/>
  <c r="S109" i="3"/>
  <c r="P109" i="3"/>
  <c r="O109" i="3"/>
  <c r="L109" i="3"/>
  <c r="K109" i="3"/>
  <c r="AN108" i="3"/>
  <c r="AM108" i="3"/>
  <c r="AK108" i="3"/>
  <c r="AJ108" i="3"/>
  <c r="AI108" i="3"/>
  <c r="AH108" i="3"/>
  <c r="AG108" i="3"/>
  <c r="AF108" i="3"/>
  <c r="AE108" i="3"/>
  <c r="AB108" i="3"/>
  <c r="AA108" i="3"/>
  <c r="X108" i="3"/>
  <c r="W108" i="3"/>
  <c r="T108" i="3"/>
  <c r="S108" i="3"/>
  <c r="P108" i="3"/>
  <c r="O108" i="3"/>
  <c r="L108" i="3"/>
  <c r="K108" i="3"/>
  <c r="AN107" i="3"/>
  <c r="AM107" i="3"/>
  <c r="AK107" i="3"/>
  <c r="AI107" i="3"/>
  <c r="AH107" i="3"/>
  <c r="AJ107" i="3" s="1"/>
  <c r="AG107" i="3"/>
  <c r="AF107" i="3"/>
  <c r="AE107" i="3"/>
  <c r="AB107" i="3"/>
  <c r="AA107" i="3"/>
  <c r="X107" i="3"/>
  <c r="W107" i="3"/>
  <c r="T107" i="3"/>
  <c r="S107" i="3"/>
  <c r="P107" i="3"/>
  <c r="O107" i="3"/>
  <c r="L107" i="3"/>
  <c r="K107" i="3"/>
  <c r="AN106" i="3"/>
  <c r="AM106" i="3"/>
  <c r="AK106" i="3"/>
  <c r="AH106" i="3"/>
  <c r="AJ106" i="3" s="1"/>
  <c r="AG106" i="3"/>
  <c r="AI106" i="3" s="1"/>
  <c r="AF106" i="3"/>
  <c r="AE106" i="3"/>
  <c r="AB106" i="3"/>
  <c r="AA106" i="3"/>
  <c r="X106" i="3"/>
  <c r="W106" i="3"/>
  <c r="T106" i="3"/>
  <c r="S106" i="3"/>
  <c r="P106" i="3"/>
  <c r="O106" i="3"/>
  <c r="L106" i="3"/>
  <c r="K106" i="3"/>
  <c r="AN105" i="3"/>
  <c r="AM105" i="3"/>
  <c r="AK105" i="3"/>
  <c r="AJ105" i="3"/>
  <c r="AI105" i="3"/>
  <c r="AH105" i="3"/>
  <c r="AG105" i="3"/>
  <c r="AF105" i="3"/>
  <c r="AE105" i="3"/>
  <c r="AB105" i="3"/>
  <c r="AA105" i="3"/>
  <c r="X105" i="3"/>
  <c r="W105" i="3"/>
  <c r="T105" i="3"/>
  <c r="S105" i="3"/>
  <c r="P105" i="3"/>
  <c r="O105" i="3"/>
  <c r="L105" i="3"/>
  <c r="K105" i="3"/>
  <c r="AN104" i="3"/>
  <c r="AM104" i="3"/>
  <c r="AK104" i="3"/>
  <c r="AJ104" i="3"/>
  <c r="AI104" i="3"/>
  <c r="AH104" i="3"/>
  <c r="AG104" i="3"/>
  <c r="AF104" i="3"/>
  <c r="AE104" i="3"/>
  <c r="AB104" i="3"/>
  <c r="AA104" i="3"/>
  <c r="X104" i="3"/>
  <c r="W104" i="3"/>
  <c r="T104" i="3"/>
  <c r="S104" i="3"/>
  <c r="P104" i="3"/>
  <c r="O104" i="3"/>
  <c r="L104" i="3"/>
  <c r="K104" i="3"/>
  <c r="AN103" i="3"/>
  <c r="AM103" i="3"/>
  <c r="AK103" i="3"/>
  <c r="AH103" i="3"/>
  <c r="AI103" i="3" s="1"/>
  <c r="AG103" i="3"/>
  <c r="AF103" i="3"/>
  <c r="AE103" i="3"/>
  <c r="AB103" i="3"/>
  <c r="AA103" i="3"/>
  <c r="X103" i="3"/>
  <c r="W103" i="3"/>
  <c r="T103" i="3"/>
  <c r="S103" i="3"/>
  <c r="P103" i="3"/>
  <c r="O103" i="3"/>
  <c r="L103" i="3"/>
  <c r="K103" i="3"/>
  <c r="AN102" i="3"/>
  <c r="AM102" i="3"/>
  <c r="AK102" i="3"/>
  <c r="AH102" i="3"/>
  <c r="AJ102" i="3" s="1"/>
  <c r="AG102" i="3"/>
  <c r="AI102" i="3" s="1"/>
  <c r="AF102" i="3"/>
  <c r="AE102" i="3"/>
  <c r="AB102" i="3"/>
  <c r="AA102" i="3"/>
  <c r="X102" i="3"/>
  <c r="W102" i="3"/>
  <c r="T102" i="3"/>
  <c r="S102" i="3"/>
  <c r="P102" i="3"/>
  <c r="O102" i="3"/>
  <c r="L102" i="3"/>
  <c r="K102" i="3"/>
  <c r="AN101" i="3"/>
  <c r="AM101" i="3"/>
  <c r="AK101" i="3"/>
  <c r="AH101" i="3"/>
  <c r="AG101" i="3"/>
  <c r="AJ101" i="3" s="1"/>
  <c r="AF101" i="3"/>
  <c r="AE101" i="3"/>
  <c r="AB101" i="3"/>
  <c r="AA101" i="3"/>
  <c r="X101" i="3"/>
  <c r="W101" i="3"/>
  <c r="T101" i="3"/>
  <c r="S101" i="3"/>
  <c r="AN100" i="3"/>
  <c r="AM100" i="3"/>
  <c r="AK100" i="3"/>
  <c r="AJ100" i="3"/>
  <c r="AI100" i="3"/>
  <c r="AH100" i="3"/>
  <c r="AG100" i="3"/>
  <c r="AF100" i="3"/>
  <c r="AE100" i="3"/>
  <c r="AB100" i="3"/>
  <c r="AA100" i="3"/>
  <c r="X100" i="3"/>
  <c r="W100" i="3"/>
  <c r="T100" i="3"/>
  <c r="S100" i="3"/>
  <c r="P100" i="3"/>
  <c r="O100" i="3"/>
  <c r="L100" i="3"/>
  <c r="K100" i="3"/>
  <c r="AN99" i="3"/>
  <c r="AM99" i="3"/>
  <c r="AK99" i="3"/>
  <c r="AH99" i="3"/>
  <c r="AI99" i="3" s="1"/>
  <c r="AG99" i="3"/>
  <c r="AF99" i="3"/>
  <c r="AE99" i="3"/>
  <c r="AB99" i="3"/>
  <c r="AA99" i="3"/>
  <c r="X99" i="3"/>
  <c r="W99" i="3"/>
  <c r="AN98" i="3"/>
  <c r="AM98" i="3"/>
  <c r="AK98" i="3"/>
  <c r="AJ98" i="3"/>
  <c r="AI98" i="3"/>
  <c r="AH98" i="3"/>
  <c r="AG98" i="3"/>
  <c r="AF98" i="3"/>
  <c r="AE98" i="3"/>
  <c r="AB98" i="3"/>
  <c r="AA98" i="3"/>
  <c r="X98" i="3"/>
  <c r="W98" i="3"/>
  <c r="AN97" i="3"/>
  <c r="AM97" i="3"/>
  <c r="AK97" i="3"/>
  <c r="AH97" i="3"/>
  <c r="AG97" i="3"/>
  <c r="AJ97" i="3" s="1"/>
  <c r="AF97" i="3"/>
  <c r="AE97" i="3"/>
  <c r="AB97" i="3"/>
  <c r="AA97" i="3"/>
  <c r="AN96" i="3"/>
  <c r="AM96" i="3"/>
  <c r="AK96" i="3"/>
  <c r="AE95" i="3"/>
  <c r="AD95" i="3"/>
  <c r="AD118" i="3" s="1"/>
  <c r="AC95" i="3"/>
  <c r="AC118" i="3" s="1"/>
  <c r="AE118" i="3" s="1"/>
  <c r="Z95" i="3"/>
  <c r="AA95" i="3" s="1"/>
  <c r="Y95" i="3"/>
  <c r="Y118" i="3" s="1"/>
  <c r="W95" i="3"/>
  <c r="V95" i="3"/>
  <c r="AN95" i="3" s="1"/>
  <c r="U95" i="3"/>
  <c r="U118" i="3" s="1"/>
  <c r="S95" i="3"/>
  <c r="R95" i="3"/>
  <c r="R118" i="3" s="1"/>
  <c r="Q95" i="3"/>
  <c r="Q118" i="3" s="1"/>
  <c r="S118" i="3" s="1"/>
  <c r="N95" i="3"/>
  <c r="O95" i="3" s="1"/>
  <c r="M95" i="3"/>
  <c r="M118" i="3" s="1"/>
  <c r="K95" i="3"/>
  <c r="J95" i="3"/>
  <c r="L95" i="3" s="1"/>
  <c r="I95" i="3"/>
  <c r="AK95" i="3" s="1"/>
  <c r="AN94" i="3"/>
  <c r="AM94" i="3"/>
  <c r="AK94" i="3"/>
  <c r="AG94" i="3"/>
  <c r="AN93" i="3"/>
  <c r="AM93" i="3"/>
  <c r="AK93" i="3"/>
  <c r="AH93" i="3"/>
  <c r="AJ93" i="3" s="1"/>
  <c r="AG93" i="3"/>
  <c r="AI93" i="3" s="1"/>
  <c r="X93" i="3"/>
  <c r="W93" i="3"/>
  <c r="T93" i="3"/>
  <c r="S93" i="3"/>
  <c r="P93" i="3"/>
  <c r="O93" i="3"/>
  <c r="L93" i="3"/>
  <c r="K93" i="3"/>
  <c r="AN92" i="3"/>
  <c r="AM92" i="3"/>
  <c r="AK92" i="3"/>
  <c r="AH92" i="3"/>
  <c r="AG92" i="3"/>
  <c r="AJ92" i="3" s="1"/>
  <c r="X92" i="3"/>
  <c r="W92" i="3"/>
  <c r="T92" i="3"/>
  <c r="S92" i="3"/>
  <c r="P92" i="3"/>
  <c r="O92" i="3"/>
  <c r="L92" i="3"/>
  <c r="K92" i="3"/>
  <c r="AN91" i="3"/>
  <c r="AM91" i="3"/>
  <c r="AK91" i="3"/>
  <c r="AJ91" i="3"/>
  <c r="AH91" i="3"/>
  <c r="AI91" i="3" s="1"/>
  <c r="AG91" i="3"/>
  <c r="L91" i="3"/>
  <c r="K91" i="3"/>
  <c r="AN90" i="3"/>
  <c r="AM90" i="3"/>
  <c r="AK90" i="3"/>
  <c r="AH90" i="3"/>
  <c r="AG90" i="3"/>
  <c r="AJ90" i="3" s="1"/>
  <c r="X90" i="3"/>
  <c r="W90" i="3"/>
  <c r="T90" i="3"/>
  <c r="S90" i="3"/>
  <c r="P90" i="3"/>
  <c r="O90" i="3"/>
  <c r="L90" i="3"/>
  <c r="K90" i="3"/>
  <c r="AN89" i="3"/>
  <c r="AM89" i="3"/>
  <c r="AK89" i="3"/>
  <c r="AJ89" i="3"/>
  <c r="AH89" i="3"/>
  <c r="AI89" i="3" s="1"/>
  <c r="AG89" i="3"/>
  <c r="AF89" i="3"/>
  <c r="AE89" i="3"/>
  <c r="AB89" i="3"/>
  <c r="AA89" i="3"/>
  <c r="X89" i="3"/>
  <c r="W89" i="3"/>
  <c r="T89" i="3"/>
  <c r="S89" i="3"/>
  <c r="P89" i="3"/>
  <c r="O89" i="3"/>
  <c r="L89" i="3"/>
  <c r="K89" i="3"/>
  <c r="AN88" i="3"/>
  <c r="AM88" i="3"/>
  <c r="AK88" i="3"/>
  <c r="AN87" i="3"/>
  <c r="AM87" i="3"/>
  <c r="AK87" i="3"/>
  <c r="AN84" i="3"/>
  <c r="AE84" i="3"/>
  <c r="AD84" i="3"/>
  <c r="AF84" i="3" s="1"/>
  <c r="AC84" i="3"/>
  <c r="AA84" i="3"/>
  <c r="Z84" i="3"/>
  <c r="AB84" i="3" s="1"/>
  <c r="Y84" i="3"/>
  <c r="V84" i="3"/>
  <c r="W84" i="3" s="1"/>
  <c r="U84" i="3"/>
  <c r="S84" i="3"/>
  <c r="R84" i="3"/>
  <c r="T84" i="3" s="1"/>
  <c r="Q84" i="3"/>
  <c r="O84" i="3"/>
  <c r="N84" i="3"/>
  <c r="P84" i="3" s="1"/>
  <c r="M84" i="3"/>
  <c r="AK84" i="3" s="1"/>
  <c r="J84" i="3"/>
  <c r="K84" i="3" s="1"/>
  <c r="I84" i="3"/>
  <c r="AG84" i="3" s="1"/>
  <c r="AN83" i="3"/>
  <c r="AM83" i="3"/>
  <c r="AK83" i="3"/>
  <c r="AH83" i="3"/>
  <c r="AJ83" i="3" s="1"/>
  <c r="AG83" i="3"/>
  <c r="AI83" i="3" s="1"/>
  <c r="X83" i="3"/>
  <c r="W83" i="3"/>
  <c r="T83" i="3"/>
  <c r="S83" i="3"/>
  <c r="P83" i="3"/>
  <c r="O83" i="3"/>
  <c r="AN82" i="3"/>
  <c r="AM82" i="3"/>
  <c r="AK82" i="3"/>
  <c r="AI82" i="3"/>
  <c r="AH82" i="3"/>
  <c r="AJ82" i="3" s="1"/>
  <c r="AG82" i="3"/>
  <c r="AF82" i="3"/>
  <c r="AE82" i="3"/>
  <c r="AB82" i="3"/>
  <c r="AA82" i="3"/>
  <c r="X82" i="3"/>
  <c r="W82" i="3"/>
  <c r="T82" i="3"/>
  <c r="S82" i="3"/>
  <c r="P82" i="3"/>
  <c r="O82" i="3"/>
  <c r="L82" i="3"/>
  <c r="K82" i="3"/>
  <c r="AN81" i="3"/>
  <c r="AM81" i="3"/>
  <c r="AK81" i="3"/>
  <c r="AH81" i="3"/>
  <c r="AJ81" i="3" s="1"/>
  <c r="AG81" i="3"/>
  <c r="AI81" i="3" s="1"/>
  <c r="AF81" i="3"/>
  <c r="AE81" i="3"/>
  <c r="AB81" i="3"/>
  <c r="AA81" i="3"/>
  <c r="X81" i="3"/>
  <c r="W81" i="3"/>
  <c r="T81" i="3"/>
  <c r="S81" i="3"/>
  <c r="P81" i="3"/>
  <c r="O81" i="3"/>
  <c r="L81" i="3"/>
  <c r="K81" i="3"/>
  <c r="AN80" i="3"/>
  <c r="AM80" i="3"/>
  <c r="AK80" i="3"/>
  <c r="AJ80" i="3"/>
  <c r="AI80" i="3"/>
  <c r="AH80" i="3"/>
  <c r="AG80" i="3"/>
  <c r="AF80" i="3"/>
  <c r="AE80" i="3"/>
  <c r="AB80" i="3"/>
  <c r="AA80" i="3"/>
  <c r="X80" i="3"/>
  <c r="W80" i="3"/>
  <c r="T80" i="3"/>
  <c r="S80" i="3"/>
  <c r="P80" i="3"/>
  <c r="O80" i="3"/>
  <c r="L80" i="3"/>
  <c r="K80" i="3"/>
  <c r="AN79" i="3"/>
  <c r="AM79" i="3"/>
  <c r="AK79" i="3"/>
  <c r="AJ79" i="3"/>
  <c r="AI79" i="3"/>
  <c r="AH79" i="3"/>
  <c r="AG79" i="3"/>
  <c r="AF79" i="3"/>
  <c r="AE79" i="3"/>
  <c r="AB79" i="3"/>
  <c r="AA79" i="3"/>
  <c r="X79" i="3"/>
  <c r="W79" i="3"/>
  <c r="T79" i="3"/>
  <c r="S79" i="3"/>
  <c r="P79" i="3"/>
  <c r="O79" i="3"/>
  <c r="L79" i="3"/>
  <c r="K79" i="3"/>
  <c r="AN78" i="3"/>
  <c r="AM78" i="3"/>
  <c r="AK78" i="3"/>
  <c r="AH78" i="3"/>
  <c r="AI78" i="3" s="1"/>
  <c r="AG78" i="3"/>
  <c r="AF78" i="3"/>
  <c r="AE78" i="3"/>
  <c r="AB78" i="3"/>
  <c r="AA78" i="3"/>
  <c r="X78" i="3"/>
  <c r="W78" i="3"/>
  <c r="T78" i="3"/>
  <c r="S78" i="3"/>
  <c r="P78" i="3"/>
  <c r="O78" i="3"/>
  <c r="L78" i="3"/>
  <c r="K78" i="3"/>
  <c r="AN77" i="3"/>
  <c r="AM77" i="3"/>
  <c r="AK77" i="3"/>
  <c r="AH77" i="3"/>
  <c r="AJ77" i="3" s="1"/>
  <c r="AG77" i="3"/>
  <c r="AI77" i="3" s="1"/>
  <c r="P77" i="3"/>
  <c r="O77" i="3"/>
  <c r="L77" i="3"/>
  <c r="K77" i="3"/>
  <c r="AN76" i="3"/>
  <c r="AM76" i="3"/>
  <c r="AK76" i="3"/>
  <c r="AH76" i="3"/>
  <c r="AG76" i="3"/>
  <c r="AJ76" i="3" s="1"/>
  <c r="AF76" i="3"/>
  <c r="AE76" i="3"/>
  <c r="AB76" i="3"/>
  <c r="AA76" i="3"/>
  <c r="X76" i="3"/>
  <c r="W76" i="3"/>
  <c r="T76" i="3"/>
  <c r="S76" i="3"/>
  <c r="P76" i="3"/>
  <c r="O76" i="3"/>
  <c r="L76" i="3"/>
  <c r="K76" i="3"/>
  <c r="AN75" i="3"/>
  <c r="AM75" i="3"/>
  <c r="AK75" i="3"/>
  <c r="AI75" i="3"/>
  <c r="AH75" i="3"/>
  <c r="AJ75" i="3" s="1"/>
  <c r="AG75" i="3"/>
  <c r="AF75" i="3"/>
  <c r="AE75" i="3"/>
  <c r="AB75" i="3"/>
  <c r="AA75" i="3"/>
  <c r="X75" i="3"/>
  <c r="W75" i="3"/>
  <c r="T75" i="3"/>
  <c r="S75" i="3"/>
  <c r="P75" i="3"/>
  <c r="O75" i="3"/>
  <c r="L75" i="3"/>
  <c r="K75" i="3"/>
  <c r="AN74" i="3"/>
  <c r="AM74" i="3"/>
  <c r="AK74" i="3"/>
  <c r="AI74" i="3"/>
  <c r="AH74" i="3"/>
  <c r="AJ74" i="3" s="1"/>
  <c r="AG74" i="3"/>
  <c r="AF74" i="3"/>
  <c r="AE74" i="3"/>
  <c r="AB74" i="3"/>
  <c r="AA74" i="3"/>
  <c r="X74" i="3"/>
  <c r="W74" i="3"/>
  <c r="T74" i="3"/>
  <c r="S74" i="3"/>
  <c r="P74" i="3"/>
  <c r="O74" i="3"/>
  <c r="L74" i="3"/>
  <c r="K74" i="3"/>
  <c r="AN73" i="3"/>
  <c r="AM73" i="3"/>
  <c r="AK73" i="3"/>
  <c r="AF72" i="3"/>
  <c r="AE72" i="3"/>
  <c r="AD72" i="3"/>
  <c r="AD85" i="3" s="1"/>
  <c r="AC72" i="3"/>
  <c r="AC85" i="3" s="1"/>
  <c r="AE85" i="3" s="1"/>
  <c r="Z72" i="3"/>
  <c r="Z85" i="3" s="1"/>
  <c r="Y72" i="3"/>
  <c r="AB72" i="3" s="1"/>
  <c r="V72" i="3"/>
  <c r="V85" i="3" s="1"/>
  <c r="U72" i="3"/>
  <c r="X72" i="3" s="1"/>
  <c r="T72" i="3"/>
  <c r="S72" i="3"/>
  <c r="R72" i="3"/>
  <c r="R85" i="3" s="1"/>
  <c r="T85" i="3" s="1"/>
  <c r="Q72" i="3"/>
  <c r="Q85" i="3" s="1"/>
  <c r="N72" i="3"/>
  <c r="N85" i="3" s="1"/>
  <c r="M72" i="3"/>
  <c r="P72" i="3" s="1"/>
  <c r="J72" i="3"/>
  <c r="AM72" i="3" s="1"/>
  <c r="I72" i="3"/>
  <c r="AK72" i="3" s="1"/>
  <c r="AN71" i="3"/>
  <c r="AM71" i="3"/>
  <c r="AK71" i="3"/>
  <c r="AG71" i="3"/>
  <c r="AN70" i="3"/>
  <c r="AM70" i="3"/>
  <c r="AK70" i="3"/>
  <c r="AJ70" i="3"/>
  <c r="AI70" i="3"/>
  <c r="AH70" i="3"/>
  <c r="AG70" i="3"/>
  <c r="AF70" i="3"/>
  <c r="AE70" i="3"/>
  <c r="AB70" i="3"/>
  <c r="AA70" i="3"/>
  <c r="X70" i="3"/>
  <c r="W70" i="3"/>
  <c r="T70" i="3"/>
  <c r="S70" i="3"/>
  <c r="P70" i="3"/>
  <c r="O70" i="3"/>
  <c r="L70" i="3"/>
  <c r="K70" i="3"/>
  <c r="AN69" i="3"/>
  <c r="AM69" i="3"/>
  <c r="AK69" i="3"/>
  <c r="AH69" i="3"/>
  <c r="AI69" i="3" s="1"/>
  <c r="AG69" i="3"/>
  <c r="AF69" i="3"/>
  <c r="AE69" i="3"/>
  <c r="AB69" i="3"/>
  <c r="AA69" i="3"/>
  <c r="X69" i="3"/>
  <c r="W69" i="3"/>
  <c r="T69" i="3"/>
  <c r="S69" i="3"/>
  <c r="P69" i="3"/>
  <c r="O69" i="3"/>
  <c r="L69" i="3"/>
  <c r="K69" i="3"/>
  <c r="AN68" i="3"/>
  <c r="AM68" i="3"/>
  <c r="AK68" i="3"/>
  <c r="AH68" i="3"/>
  <c r="AJ68" i="3" s="1"/>
  <c r="AG68" i="3"/>
  <c r="AI68" i="3" s="1"/>
  <c r="AF68" i="3"/>
  <c r="AE68" i="3"/>
  <c r="AB68" i="3"/>
  <c r="AA68" i="3"/>
  <c r="X68" i="3"/>
  <c r="W68" i="3"/>
  <c r="T68" i="3"/>
  <c r="S68" i="3"/>
  <c r="P68" i="3"/>
  <c r="O68" i="3"/>
  <c r="L68" i="3"/>
  <c r="K68" i="3"/>
  <c r="AN67" i="3"/>
  <c r="AM67" i="3"/>
  <c r="AK67" i="3"/>
  <c r="AH67" i="3"/>
  <c r="AG67" i="3"/>
  <c r="AJ67" i="3" s="1"/>
  <c r="L67" i="3"/>
  <c r="K67" i="3"/>
  <c r="AN66" i="3"/>
  <c r="AM66" i="3"/>
  <c r="AK66" i="3"/>
  <c r="AH66" i="3"/>
  <c r="AG66" i="3"/>
  <c r="AJ66" i="3" s="1"/>
  <c r="P66" i="3"/>
  <c r="O66" i="3"/>
  <c r="L66" i="3"/>
  <c r="K66" i="3"/>
  <c r="AN65" i="3"/>
  <c r="AM65" i="3"/>
  <c r="AK65" i="3"/>
  <c r="AJ65" i="3"/>
  <c r="AI65" i="3"/>
  <c r="AH65" i="3"/>
  <c r="AG65" i="3"/>
  <c r="AF65" i="3"/>
  <c r="AE65" i="3"/>
  <c r="AB65" i="3"/>
  <c r="AA65" i="3"/>
  <c r="X65" i="3"/>
  <c r="W65" i="3"/>
  <c r="T65" i="3"/>
  <c r="S65" i="3"/>
  <c r="P65" i="3"/>
  <c r="O65" i="3"/>
  <c r="L65" i="3"/>
  <c r="K65" i="3"/>
  <c r="AN64" i="3"/>
  <c r="AM64" i="3"/>
  <c r="AK64" i="3"/>
  <c r="AJ64" i="3"/>
  <c r="AI64" i="3"/>
  <c r="AH64" i="3"/>
  <c r="AG64" i="3"/>
  <c r="AF64" i="3"/>
  <c r="AE64" i="3"/>
  <c r="AB64" i="3"/>
  <c r="AA64" i="3"/>
  <c r="X64" i="3"/>
  <c r="W64" i="3"/>
  <c r="T64" i="3"/>
  <c r="S64" i="3"/>
  <c r="P64" i="3"/>
  <c r="O64" i="3"/>
  <c r="L64" i="3"/>
  <c r="K64" i="3"/>
  <c r="AN63" i="3"/>
  <c r="AM63" i="3"/>
  <c r="AK63" i="3"/>
  <c r="AN62" i="3"/>
  <c r="AM62" i="3"/>
  <c r="AK62" i="3"/>
  <c r="AG62" i="3"/>
  <c r="AN61" i="3"/>
  <c r="AM61" i="3"/>
  <c r="AK61" i="3"/>
  <c r="AD60" i="3"/>
  <c r="AD86" i="3" s="1"/>
  <c r="AC60" i="3"/>
  <c r="AF60" i="3" s="1"/>
  <c r="Z60" i="3"/>
  <c r="Z86" i="3" s="1"/>
  <c r="Y60" i="3"/>
  <c r="AB60" i="3" s="1"/>
  <c r="X60" i="3"/>
  <c r="W60" i="3"/>
  <c r="V60" i="3"/>
  <c r="AN60" i="3" s="1"/>
  <c r="U60" i="3"/>
  <c r="R60" i="3"/>
  <c r="R86" i="3" s="1"/>
  <c r="Q60" i="3"/>
  <c r="T60" i="3" s="1"/>
  <c r="N60" i="3"/>
  <c r="M60" i="3"/>
  <c r="P60" i="3" s="1"/>
  <c r="L60" i="3"/>
  <c r="K60" i="3"/>
  <c r="J60" i="3"/>
  <c r="AM60" i="3" s="1"/>
  <c r="I60" i="3"/>
  <c r="AN59" i="3"/>
  <c r="AM59" i="3"/>
  <c r="AK59" i="3"/>
  <c r="AJ59" i="3"/>
  <c r="AI59" i="3"/>
  <c r="AH59" i="3"/>
  <c r="AG59" i="3"/>
  <c r="AF59" i="3"/>
  <c r="AE59" i="3"/>
  <c r="AB59" i="3"/>
  <c r="AA59" i="3"/>
  <c r="X59" i="3"/>
  <c r="W59" i="3"/>
  <c r="T59" i="3"/>
  <c r="S59" i="3"/>
  <c r="P59" i="3"/>
  <c r="O59" i="3"/>
  <c r="L59" i="3"/>
  <c r="K59" i="3"/>
  <c r="AN58" i="3"/>
  <c r="AM58" i="3"/>
  <c r="AK58" i="3"/>
  <c r="AH58" i="3"/>
  <c r="AI58" i="3" s="1"/>
  <c r="AG58" i="3"/>
  <c r="AF58" i="3"/>
  <c r="AE58" i="3"/>
  <c r="AB58" i="3"/>
  <c r="AA58" i="3"/>
  <c r="X58" i="3"/>
  <c r="W58" i="3"/>
  <c r="T58" i="3"/>
  <c r="S58" i="3"/>
  <c r="P58" i="3"/>
  <c r="O58" i="3"/>
  <c r="L58" i="3"/>
  <c r="K58" i="3"/>
  <c r="AN57" i="3"/>
  <c r="AM57" i="3"/>
  <c r="AK57" i="3"/>
  <c r="AH57" i="3"/>
  <c r="AJ57" i="3" s="1"/>
  <c r="AG57" i="3"/>
  <c r="AI57" i="3" s="1"/>
  <c r="AF57" i="3"/>
  <c r="AE57" i="3"/>
  <c r="AB57" i="3"/>
  <c r="AA57" i="3"/>
  <c r="X57" i="3"/>
  <c r="W57" i="3"/>
  <c r="T57" i="3"/>
  <c r="S57" i="3"/>
  <c r="P57" i="3"/>
  <c r="O57" i="3"/>
  <c r="L57" i="3"/>
  <c r="K57" i="3"/>
  <c r="AN56" i="3"/>
  <c r="AM56" i="3"/>
  <c r="AK56" i="3"/>
  <c r="AN55" i="3"/>
  <c r="AM55" i="3"/>
  <c r="AK55" i="3"/>
  <c r="AN54" i="3"/>
  <c r="AD54" i="3"/>
  <c r="AE54" i="3" s="1"/>
  <c r="AC54" i="3"/>
  <c r="AA54" i="3"/>
  <c r="Z54" i="3"/>
  <c r="AB54" i="3" s="1"/>
  <c r="Y54" i="3"/>
  <c r="W54" i="3"/>
  <c r="V54" i="3"/>
  <c r="U54" i="3"/>
  <c r="R54" i="3"/>
  <c r="Q54" i="3"/>
  <c r="S54" i="3" s="1"/>
  <c r="O54" i="3"/>
  <c r="N54" i="3"/>
  <c r="P54" i="3" s="1"/>
  <c r="M54" i="3"/>
  <c r="K54" i="3"/>
  <c r="J54" i="3"/>
  <c r="I54" i="3"/>
  <c r="AN53" i="3"/>
  <c r="AM53" i="3"/>
  <c r="AK53" i="3"/>
  <c r="AG53" i="3"/>
  <c r="AN52" i="3"/>
  <c r="AM52" i="3"/>
  <c r="AK52" i="3"/>
  <c r="AH52" i="3"/>
  <c r="AJ52" i="3" s="1"/>
  <c r="AG52" i="3"/>
  <c r="AI52" i="3" s="1"/>
  <c r="T52" i="3"/>
  <c r="S52" i="3"/>
  <c r="P52" i="3"/>
  <c r="O52" i="3"/>
  <c r="L52" i="3"/>
  <c r="K52" i="3"/>
  <c r="AN51" i="3"/>
  <c r="AM51" i="3"/>
  <c r="AK51" i="3"/>
  <c r="AI51" i="3"/>
  <c r="AH51" i="3"/>
  <c r="AJ51" i="3" s="1"/>
  <c r="AG51" i="3"/>
  <c r="L51" i="3"/>
  <c r="K51" i="3"/>
  <c r="AN50" i="3"/>
  <c r="AM50" i="3"/>
  <c r="AK50" i="3"/>
  <c r="AJ50" i="3"/>
  <c r="AI50" i="3"/>
  <c r="AH50" i="3"/>
  <c r="AG50" i="3"/>
  <c r="AF50" i="3"/>
  <c r="AE50" i="3"/>
  <c r="AB50" i="3"/>
  <c r="AA50" i="3"/>
  <c r="X50" i="3"/>
  <c r="W50" i="3"/>
  <c r="T50" i="3"/>
  <c r="S50" i="3"/>
  <c r="P50" i="3"/>
  <c r="O50" i="3"/>
  <c r="L50" i="3"/>
  <c r="K50" i="3"/>
  <c r="AN49" i="3"/>
  <c r="AM49" i="3"/>
  <c r="AK49" i="3"/>
  <c r="AH49" i="3"/>
  <c r="AJ49" i="3" s="1"/>
  <c r="AG49" i="3"/>
  <c r="AI49" i="3" s="1"/>
  <c r="AF49" i="3"/>
  <c r="AE49" i="3"/>
  <c r="AB49" i="3"/>
  <c r="AA49" i="3"/>
  <c r="X49" i="3"/>
  <c r="W49" i="3"/>
  <c r="T49" i="3"/>
  <c r="S49" i="3"/>
  <c r="P49" i="3"/>
  <c r="O49" i="3"/>
  <c r="L49" i="3"/>
  <c r="K49" i="3"/>
  <c r="AN48" i="3"/>
  <c r="AM48" i="3"/>
  <c r="AK48" i="3"/>
  <c r="AH48" i="3"/>
  <c r="AJ48" i="3" s="1"/>
  <c r="AG48" i="3"/>
  <c r="AI48" i="3" s="1"/>
  <c r="AF48" i="3"/>
  <c r="AE48" i="3"/>
  <c r="AB48" i="3"/>
  <c r="AA48" i="3"/>
  <c r="X48" i="3"/>
  <c r="W48" i="3"/>
  <c r="T48" i="3"/>
  <c r="S48" i="3"/>
  <c r="P48" i="3"/>
  <c r="O48" i="3"/>
  <c r="L48" i="3"/>
  <c r="K48" i="3"/>
  <c r="AN47" i="3"/>
  <c r="AM47" i="3"/>
  <c r="AK47" i="3"/>
  <c r="AN46" i="3"/>
  <c r="AM46" i="3"/>
  <c r="AK46" i="3"/>
  <c r="AJ46" i="3"/>
  <c r="AI46" i="3"/>
  <c r="AH46" i="3"/>
  <c r="AG46" i="3"/>
  <c r="AF46" i="3"/>
  <c r="AE46" i="3"/>
  <c r="AB46" i="3"/>
  <c r="AA46" i="3"/>
  <c r="X46" i="3"/>
  <c r="W46" i="3"/>
  <c r="T46" i="3"/>
  <c r="S46" i="3"/>
  <c r="P46" i="3"/>
  <c r="O46" i="3"/>
  <c r="L46" i="3"/>
  <c r="K46" i="3"/>
  <c r="AN44" i="3"/>
  <c r="AM44" i="3"/>
  <c r="AK44" i="3"/>
  <c r="AH44" i="3"/>
  <c r="AJ44" i="3" s="1"/>
  <c r="AG44" i="3"/>
  <c r="AI44" i="3" s="1"/>
  <c r="X44" i="3"/>
  <c r="W44" i="3"/>
  <c r="T44" i="3"/>
  <c r="S44" i="3"/>
  <c r="P44" i="3"/>
  <c r="O44" i="3"/>
  <c r="L44" i="3"/>
  <c r="K44" i="3"/>
  <c r="AD43" i="3"/>
  <c r="AN43" i="3" s="1"/>
  <c r="AC43" i="3"/>
  <c r="AF43" i="3" s="1"/>
  <c r="Z43" i="3"/>
  <c r="Y43" i="3"/>
  <c r="AB43" i="3" s="1"/>
  <c r="X43" i="3"/>
  <c r="W43" i="3"/>
  <c r="V43" i="3"/>
  <c r="U43" i="3"/>
  <c r="R43" i="3"/>
  <c r="Q43" i="3"/>
  <c r="T43" i="3" s="1"/>
  <c r="N43" i="3"/>
  <c r="M43" i="3"/>
  <c r="P43" i="3" s="1"/>
  <c r="L43" i="3"/>
  <c r="K43" i="3"/>
  <c r="J43" i="3"/>
  <c r="AM43" i="3" s="1"/>
  <c r="I43" i="3"/>
  <c r="AG43" i="3" s="1"/>
  <c r="AN42" i="3"/>
  <c r="AM42" i="3"/>
  <c r="AK42" i="3"/>
  <c r="AJ42" i="3"/>
  <c r="AI42" i="3"/>
  <c r="AH42" i="3"/>
  <c r="AG42" i="3"/>
  <c r="AF42" i="3"/>
  <c r="AE42" i="3"/>
  <c r="AB42" i="3"/>
  <c r="AA42" i="3"/>
  <c r="X42" i="3"/>
  <c r="W42" i="3"/>
  <c r="T42" i="3"/>
  <c r="S42" i="3"/>
  <c r="P42" i="3"/>
  <c r="O42" i="3"/>
  <c r="L42" i="3"/>
  <c r="K42" i="3"/>
  <c r="AN41" i="3"/>
  <c r="AM41" i="3"/>
  <c r="AK41" i="3"/>
  <c r="AH41" i="3"/>
  <c r="AJ41" i="3" s="1"/>
  <c r="AG41" i="3"/>
  <c r="AI41" i="3" s="1"/>
  <c r="AF41" i="3"/>
  <c r="AE41" i="3"/>
  <c r="AB41" i="3"/>
  <c r="AA41" i="3"/>
  <c r="X41" i="3"/>
  <c r="W41" i="3"/>
  <c r="T41" i="3"/>
  <c r="S41" i="3"/>
  <c r="P41" i="3"/>
  <c r="O41" i="3"/>
  <c r="L41" i="3"/>
  <c r="K41" i="3"/>
  <c r="AN40" i="3"/>
  <c r="AM40" i="3"/>
  <c r="AK40" i="3"/>
  <c r="AH40" i="3"/>
  <c r="AJ40" i="3" s="1"/>
  <c r="AG40" i="3"/>
  <c r="AI40" i="3" s="1"/>
  <c r="AF40" i="3"/>
  <c r="AE40" i="3"/>
  <c r="AB40" i="3"/>
  <c r="AA40" i="3"/>
  <c r="X40" i="3"/>
  <c r="W40" i="3"/>
  <c r="T40" i="3"/>
  <c r="S40" i="3"/>
  <c r="P40" i="3"/>
  <c r="O40" i="3"/>
  <c r="L40" i="3"/>
  <c r="K40" i="3"/>
  <c r="AN39" i="3"/>
  <c r="AM39" i="3"/>
  <c r="AK39" i="3"/>
  <c r="AH39" i="3"/>
  <c r="AG39" i="3"/>
  <c r="AJ39" i="3" s="1"/>
  <c r="AF39" i="3"/>
  <c r="AE39" i="3"/>
  <c r="AB39" i="3"/>
  <c r="AA39" i="3"/>
  <c r="X39" i="3"/>
  <c r="W39" i="3"/>
  <c r="T39" i="3"/>
  <c r="S39" i="3"/>
  <c r="P39" i="3"/>
  <c r="O39" i="3"/>
  <c r="L39" i="3"/>
  <c r="K39" i="3"/>
  <c r="AN38" i="3"/>
  <c r="AM38" i="3"/>
  <c r="AK38" i="3"/>
  <c r="AJ38" i="3"/>
  <c r="AI38" i="3"/>
  <c r="AH38" i="3"/>
  <c r="AG38" i="3"/>
  <c r="AF38" i="3"/>
  <c r="AE38" i="3"/>
  <c r="AB38" i="3"/>
  <c r="AA38" i="3"/>
  <c r="X38" i="3"/>
  <c r="W38" i="3"/>
  <c r="T38" i="3"/>
  <c r="S38" i="3"/>
  <c r="P38" i="3"/>
  <c r="O38" i="3"/>
  <c r="L38" i="3"/>
  <c r="K38" i="3"/>
  <c r="AN37" i="3"/>
  <c r="AM37" i="3"/>
  <c r="AK37" i="3"/>
  <c r="AI37" i="3"/>
  <c r="AH37" i="3"/>
  <c r="AJ37" i="3" s="1"/>
  <c r="AG37" i="3"/>
  <c r="AF37" i="3"/>
  <c r="AE37" i="3"/>
  <c r="AB37" i="3"/>
  <c r="AA37" i="3"/>
  <c r="X37" i="3"/>
  <c r="W37" i="3"/>
  <c r="T37" i="3"/>
  <c r="S37" i="3"/>
  <c r="P37" i="3"/>
  <c r="O37" i="3"/>
  <c r="L37" i="3"/>
  <c r="K37" i="3"/>
  <c r="AN36" i="3"/>
  <c r="AM36" i="3"/>
  <c r="AK36" i="3"/>
  <c r="AN35" i="3"/>
  <c r="AD35" i="3"/>
  <c r="AC35" i="3"/>
  <c r="AF35" i="3" s="1"/>
  <c r="AB35" i="3"/>
  <c r="AA35" i="3"/>
  <c r="Z35" i="3"/>
  <c r="Y35" i="3"/>
  <c r="V35" i="3"/>
  <c r="U35" i="3"/>
  <c r="X35" i="3" s="1"/>
  <c r="R35" i="3"/>
  <c r="Q35" i="3"/>
  <c r="T35" i="3" s="1"/>
  <c r="P35" i="3"/>
  <c r="O35" i="3"/>
  <c r="N35" i="3"/>
  <c r="M35" i="3"/>
  <c r="J35" i="3"/>
  <c r="AH35" i="3" s="1"/>
  <c r="I35" i="3"/>
  <c r="AK35" i="3" s="1"/>
  <c r="AN34" i="3"/>
  <c r="AM34" i="3"/>
  <c r="AK34" i="3"/>
  <c r="AJ34" i="3"/>
  <c r="AI34" i="3"/>
  <c r="AH34" i="3"/>
  <c r="AG34" i="3"/>
  <c r="P34" i="3"/>
  <c r="O34" i="3"/>
  <c r="L34" i="3"/>
  <c r="K34" i="3"/>
  <c r="AN33" i="3"/>
  <c r="AM33" i="3"/>
  <c r="AK33" i="3"/>
  <c r="AI33" i="3"/>
  <c r="AH33" i="3"/>
  <c r="AJ33" i="3" s="1"/>
  <c r="AG33" i="3"/>
  <c r="AF33" i="3"/>
  <c r="AE33" i="3"/>
  <c r="AB33" i="3"/>
  <c r="AA33" i="3"/>
  <c r="X33" i="3"/>
  <c r="W33" i="3"/>
  <c r="T33" i="3"/>
  <c r="S33" i="3"/>
  <c r="P33" i="3"/>
  <c r="O33" i="3"/>
  <c r="L33" i="3"/>
  <c r="K33" i="3"/>
  <c r="AN32" i="3"/>
  <c r="AM32" i="3"/>
  <c r="AK32" i="3"/>
  <c r="AH32" i="3"/>
  <c r="AJ32" i="3" s="1"/>
  <c r="AG32" i="3"/>
  <c r="AI32" i="3" s="1"/>
  <c r="AF32" i="3"/>
  <c r="AE32" i="3"/>
  <c r="AB32" i="3"/>
  <c r="AA32" i="3"/>
  <c r="X32" i="3"/>
  <c r="W32" i="3"/>
  <c r="T32" i="3"/>
  <c r="S32" i="3"/>
  <c r="P32" i="3"/>
  <c r="O32" i="3"/>
  <c r="L32" i="3"/>
  <c r="K32" i="3"/>
  <c r="AN31" i="3"/>
  <c r="AM31" i="3"/>
  <c r="AK31" i="3"/>
  <c r="AJ31" i="3"/>
  <c r="AI31" i="3"/>
  <c r="AH31" i="3"/>
  <c r="AG31" i="3"/>
  <c r="P31" i="3"/>
  <c r="O31" i="3"/>
  <c r="L31" i="3"/>
  <c r="K31" i="3"/>
  <c r="AN30" i="3"/>
  <c r="AM30" i="3"/>
  <c r="AK30" i="3"/>
  <c r="AJ30" i="3"/>
  <c r="AI30" i="3"/>
  <c r="AH30" i="3"/>
  <c r="AG30" i="3"/>
  <c r="P30" i="3"/>
  <c r="O30" i="3"/>
  <c r="L30" i="3"/>
  <c r="K30" i="3"/>
  <c r="AN29" i="3"/>
  <c r="AM29" i="3"/>
  <c r="AK29" i="3"/>
  <c r="AI29" i="3"/>
  <c r="AH29" i="3"/>
  <c r="AJ29" i="3" s="1"/>
  <c r="AG29" i="3"/>
  <c r="AF29" i="3"/>
  <c r="AE29" i="3"/>
  <c r="AB29" i="3"/>
  <c r="AA29" i="3"/>
  <c r="X29" i="3"/>
  <c r="W29" i="3"/>
  <c r="T29" i="3"/>
  <c r="S29" i="3"/>
  <c r="P29" i="3"/>
  <c r="O29" i="3"/>
  <c r="L29" i="3"/>
  <c r="K29" i="3"/>
  <c r="AN28" i="3"/>
  <c r="AM28" i="3"/>
  <c r="AK28" i="3"/>
  <c r="AH28" i="3"/>
  <c r="AJ28" i="3" s="1"/>
  <c r="AG28" i="3"/>
  <c r="AI28" i="3" s="1"/>
  <c r="AF28" i="3"/>
  <c r="AE28" i="3"/>
  <c r="AB28" i="3"/>
  <c r="AA28" i="3"/>
  <c r="X28" i="3"/>
  <c r="W28" i="3"/>
  <c r="T28" i="3"/>
  <c r="S28" i="3"/>
  <c r="P28" i="3"/>
  <c r="O28" i="3"/>
  <c r="L28" i="3"/>
  <c r="K28" i="3"/>
  <c r="AN27" i="3"/>
  <c r="AM27" i="3"/>
  <c r="AK27" i="3"/>
  <c r="AF26" i="3"/>
  <c r="AD26" i="3"/>
  <c r="AD45" i="3" s="1"/>
  <c r="AC26" i="3"/>
  <c r="AC45" i="3" s="1"/>
  <c r="AE45" i="3" s="1"/>
  <c r="AB26" i="3"/>
  <c r="Z26" i="3"/>
  <c r="Z45" i="3" s="1"/>
  <c r="AB45" i="3" s="1"/>
  <c r="Y26" i="3"/>
  <c r="Y45" i="3" s="1"/>
  <c r="X26" i="3"/>
  <c r="W26" i="3"/>
  <c r="V26" i="3"/>
  <c r="V45" i="3" s="1"/>
  <c r="U26" i="3"/>
  <c r="U45" i="3" s="1"/>
  <c r="W45" i="3" s="1"/>
  <c r="T26" i="3"/>
  <c r="R26" i="3"/>
  <c r="R45" i="3" s="1"/>
  <c r="Q26" i="3"/>
  <c r="Q45" i="3" s="1"/>
  <c r="S45" i="3" s="1"/>
  <c r="P26" i="3"/>
  <c r="N26" i="3"/>
  <c r="N45" i="3" s="1"/>
  <c r="M26" i="3"/>
  <c r="M45" i="3" s="1"/>
  <c r="O45" i="3" s="1"/>
  <c r="L26" i="3"/>
  <c r="K26" i="3"/>
  <c r="J26" i="3"/>
  <c r="J45" i="3" s="1"/>
  <c r="I26" i="3"/>
  <c r="I45" i="3" s="1"/>
  <c r="AN25" i="3"/>
  <c r="AM25" i="3"/>
  <c r="AK25" i="3"/>
  <c r="AI25" i="3"/>
  <c r="AH25" i="3"/>
  <c r="AJ25" i="3" s="1"/>
  <c r="AG25" i="3"/>
  <c r="AF25" i="3"/>
  <c r="AE25" i="3"/>
  <c r="AB25" i="3"/>
  <c r="AA25" i="3"/>
  <c r="X25" i="3"/>
  <c r="W25" i="3"/>
  <c r="T25" i="3"/>
  <c r="S25" i="3"/>
  <c r="P25" i="3"/>
  <c r="O25" i="3"/>
  <c r="L25" i="3"/>
  <c r="K25" i="3"/>
  <c r="AN24" i="3"/>
  <c r="AM24" i="3"/>
  <c r="AK24" i="3"/>
  <c r="AH24" i="3"/>
  <c r="AJ24" i="3" s="1"/>
  <c r="AG24" i="3"/>
  <c r="AI24" i="3" s="1"/>
  <c r="AF24" i="3"/>
  <c r="AE24" i="3"/>
  <c r="AB24" i="3"/>
  <c r="AA24" i="3"/>
  <c r="X24" i="3"/>
  <c r="W24" i="3"/>
  <c r="T24" i="3"/>
  <c r="S24" i="3"/>
  <c r="P24" i="3"/>
  <c r="O24" i="3"/>
  <c r="L24" i="3"/>
  <c r="K24" i="3"/>
  <c r="AN23" i="3"/>
  <c r="AM23" i="3"/>
  <c r="AK23" i="3"/>
  <c r="AJ23" i="3"/>
  <c r="AI23" i="3"/>
  <c r="AH23" i="3"/>
  <c r="AG23" i="3"/>
  <c r="AF23" i="3"/>
  <c r="AE23" i="3"/>
  <c r="AB23" i="3"/>
  <c r="AA23" i="3"/>
  <c r="X23" i="3"/>
  <c r="W23" i="3"/>
  <c r="T23" i="3"/>
  <c r="S23" i="3"/>
  <c r="P23" i="3"/>
  <c r="O23" i="3"/>
  <c r="L23" i="3"/>
  <c r="K23" i="3"/>
  <c r="AN22" i="3"/>
  <c r="AM22" i="3"/>
  <c r="AK22" i="3"/>
  <c r="AJ22" i="3"/>
  <c r="AH22" i="3"/>
  <c r="AI22" i="3" s="1"/>
  <c r="AG22" i="3"/>
  <c r="AF22" i="3"/>
  <c r="AE22" i="3"/>
  <c r="AB22" i="3"/>
  <c r="AA22" i="3"/>
  <c r="X22" i="3"/>
  <c r="W22" i="3"/>
  <c r="T22" i="3"/>
  <c r="S22" i="3"/>
  <c r="P22" i="3"/>
  <c r="O22" i="3"/>
  <c r="L22" i="3"/>
  <c r="K22" i="3"/>
  <c r="AN21" i="3"/>
  <c r="AM21" i="3"/>
  <c r="AK21" i="3"/>
  <c r="AH21" i="3"/>
  <c r="AI21" i="3" s="1"/>
  <c r="AG21" i="3"/>
  <c r="AF21" i="3"/>
  <c r="AE21" i="3"/>
  <c r="AB21" i="3"/>
  <c r="AA21" i="3"/>
  <c r="X21" i="3"/>
  <c r="W21" i="3"/>
  <c r="T21" i="3"/>
  <c r="S21" i="3"/>
  <c r="P21" i="3"/>
  <c r="O21" i="3"/>
  <c r="L21" i="3"/>
  <c r="K21" i="3"/>
  <c r="AN20" i="3"/>
  <c r="AM20" i="3"/>
  <c r="AK20" i="3"/>
  <c r="AH20" i="3"/>
  <c r="AJ20" i="3" s="1"/>
  <c r="AG20" i="3"/>
  <c r="AI20" i="3" s="1"/>
  <c r="AF20" i="3"/>
  <c r="AE20" i="3"/>
  <c r="AB20" i="3"/>
  <c r="AA20" i="3"/>
  <c r="X20" i="3"/>
  <c r="W20" i="3"/>
  <c r="T20" i="3"/>
  <c r="S20" i="3"/>
  <c r="P20" i="3"/>
  <c r="O20" i="3"/>
  <c r="L20" i="3"/>
  <c r="K20" i="3"/>
  <c r="AN19" i="3"/>
  <c r="AM19" i="3"/>
  <c r="AK19" i="3"/>
  <c r="AN18" i="3"/>
  <c r="AM18" i="3"/>
  <c r="AK18" i="3"/>
  <c r="AN17" i="3"/>
  <c r="AM17" i="3"/>
  <c r="AK17" i="3"/>
  <c r="Y15" i="3"/>
  <c r="U15" i="3"/>
  <c r="U16" i="3" s="1"/>
  <c r="M15" i="3"/>
  <c r="I15" i="3"/>
  <c r="I16" i="3" s="1"/>
  <c r="AF14" i="3"/>
  <c r="AD14" i="3"/>
  <c r="AE14" i="3" s="1"/>
  <c r="AC14" i="3"/>
  <c r="AC15" i="3" s="1"/>
  <c r="AB14" i="3"/>
  <c r="Z14" i="3"/>
  <c r="Z15" i="3" s="1"/>
  <c r="Y14" i="3"/>
  <c r="X14" i="3"/>
  <c r="W14" i="3"/>
  <c r="V14" i="3"/>
  <c r="V15" i="3" s="1"/>
  <c r="U14" i="3"/>
  <c r="T14" i="3"/>
  <c r="R14" i="3"/>
  <c r="R15" i="3" s="1"/>
  <c r="Q14" i="3"/>
  <c r="Q15" i="3" s="1"/>
  <c r="P14" i="3"/>
  <c r="N14" i="3"/>
  <c r="N15" i="3" s="1"/>
  <c r="M14" i="3"/>
  <c r="L14" i="3"/>
  <c r="K14" i="3"/>
  <c r="J14" i="3"/>
  <c r="AH14" i="3" s="1"/>
  <c r="I14" i="3"/>
  <c r="AG14" i="3" s="1"/>
  <c r="AI14" i="3" s="1"/>
  <c r="AN13" i="3"/>
  <c r="AM13" i="3"/>
  <c r="AK13" i="3"/>
  <c r="AI13" i="3"/>
  <c r="AH13" i="3"/>
  <c r="AJ13" i="3" s="1"/>
  <c r="AG13" i="3"/>
  <c r="AF13" i="3"/>
  <c r="AE13" i="3"/>
  <c r="AB13" i="3"/>
  <c r="AA13" i="3"/>
  <c r="X13" i="3"/>
  <c r="W13" i="3"/>
  <c r="T13" i="3"/>
  <c r="S13" i="3"/>
  <c r="P13" i="3"/>
  <c r="O13" i="3"/>
  <c r="L13" i="3"/>
  <c r="K13" i="3"/>
  <c r="AN12" i="3"/>
  <c r="AM12" i="3"/>
  <c r="AK12" i="3"/>
  <c r="AH12" i="3"/>
  <c r="AJ12" i="3" s="1"/>
  <c r="AG12" i="3"/>
  <c r="AI12" i="3" s="1"/>
  <c r="AF12" i="3"/>
  <c r="AE12" i="3"/>
  <c r="AB12" i="3"/>
  <c r="AA12" i="3"/>
  <c r="X12" i="3"/>
  <c r="W12" i="3"/>
  <c r="T12" i="3"/>
  <c r="S12" i="3"/>
  <c r="P12" i="3"/>
  <c r="O12" i="3"/>
  <c r="L12" i="3"/>
  <c r="K12" i="3"/>
  <c r="AN11" i="3"/>
  <c r="AM11" i="3"/>
  <c r="AK11" i="3"/>
  <c r="AJ11" i="3"/>
  <c r="AI11" i="3"/>
  <c r="AH11" i="3"/>
  <c r="AG11" i="3"/>
  <c r="AF11" i="3"/>
  <c r="AE11" i="3"/>
  <c r="AB11" i="3"/>
  <c r="AA11" i="3"/>
  <c r="X11" i="3"/>
  <c r="W11" i="3"/>
  <c r="T11" i="3"/>
  <c r="S11" i="3"/>
  <c r="P11" i="3"/>
  <c r="O11" i="3"/>
  <c r="L11" i="3"/>
  <c r="K11" i="3"/>
  <c r="AN10" i="3"/>
  <c r="AM10" i="3"/>
  <c r="AK10" i="3"/>
  <c r="AJ10" i="3"/>
  <c r="AH10" i="3"/>
  <c r="AG10" i="3"/>
  <c r="AI10" i="3" s="1"/>
  <c r="AF10" i="3"/>
  <c r="AE10" i="3"/>
  <c r="AB10" i="3"/>
  <c r="AA10" i="3"/>
  <c r="X10" i="3"/>
  <c r="W10" i="3"/>
  <c r="T10" i="3"/>
  <c r="S10" i="3"/>
  <c r="P10" i="3"/>
  <c r="O10" i="3"/>
  <c r="L10" i="3"/>
  <c r="K10" i="3"/>
  <c r="AN9" i="3"/>
  <c r="AM9" i="3"/>
  <c r="AK9" i="3"/>
  <c r="AH9" i="3"/>
  <c r="AI9" i="3" s="1"/>
  <c r="AG9" i="3"/>
  <c r="AF9" i="3"/>
  <c r="AE9" i="3"/>
  <c r="AB9" i="3"/>
  <c r="AA9" i="3"/>
  <c r="X9" i="3"/>
  <c r="W9" i="3"/>
  <c r="T9" i="3"/>
  <c r="S9" i="3"/>
  <c r="P9" i="3"/>
  <c r="O9" i="3"/>
  <c r="L9" i="3"/>
  <c r="K9" i="3"/>
  <c r="AN8" i="3"/>
  <c r="AM8" i="3"/>
  <c r="AK8" i="3"/>
  <c r="AH8" i="3"/>
  <c r="AJ8" i="3" s="1"/>
  <c r="AG8" i="3"/>
  <c r="AI8" i="3" s="1"/>
  <c r="AB8" i="3"/>
  <c r="AA8" i="3"/>
  <c r="X8" i="3"/>
  <c r="W8" i="3"/>
  <c r="T8" i="3"/>
  <c r="S8" i="3"/>
  <c r="P8" i="3"/>
  <c r="O8" i="3"/>
  <c r="L8" i="3"/>
  <c r="K8" i="3"/>
  <c r="AN7" i="3"/>
  <c r="AM7" i="3"/>
  <c r="AK7" i="3"/>
  <c r="AG7" i="3"/>
  <c r="AN6" i="3"/>
  <c r="AM6" i="3"/>
  <c r="AK6" i="3"/>
  <c r="AN5" i="3"/>
  <c r="AM5" i="3"/>
  <c r="AK5" i="3"/>
  <c r="AG5" i="3"/>
  <c r="I101" i="2"/>
  <c r="H101" i="2"/>
  <c r="J101" i="2" s="1"/>
  <c r="J100" i="2"/>
  <c r="I98" i="2"/>
  <c r="I97" i="2"/>
  <c r="J96" i="2"/>
  <c r="J95" i="2"/>
  <c r="J94" i="2"/>
  <c r="J93" i="2"/>
  <c r="J92" i="2"/>
  <c r="J91" i="2"/>
  <c r="J90" i="2"/>
  <c r="J89" i="2"/>
  <c r="H89" i="2"/>
  <c r="J88" i="2"/>
  <c r="J87" i="2"/>
  <c r="J86" i="2"/>
  <c r="J85" i="2"/>
  <c r="J84" i="2"/>
  <c r="H83" i="2"/>
  <c r="J83" i="2" s="1"/>
  <c r="J82" i="2"/>
  <c r="J81" i="2"/>
  <c r="H81" i="2"/>
  <c r="H97" i="2" s="1"/>
  <c r="J80" i="2"/>
  <c r="J79" i="2"/>
  <c r="J77" i="2"/>
  <c r="I75" i="2"/>
  <c r="H75" i="2"/>
  <c r="I67" i="2"/>
  <c r="I68" i="2" s="1"/>
  <c r="J66" i="2"/>
  <c r="J65" i="2"/>
  <c r="H64" i="2"/>
  <c r="H67" i="2" s="1"/>
  <c r="H62" i="2"/>
  <c r="J62" i="2" s="1"/>
  <c r="J60" i="2"/>
  <c r="H60" i="2"/>
  <c r="I58" i="2"/>
  <c r="J57" i="2"/>
  <c r="J56" i="2"/>
  <c r="J55" i="2"/>
  <c r="H55" i="2"/>
  <c r="J54" i="2"/>
  <c r="H54" i="2"/>
  <c r="H58" i="2" s="1"/>
  <c r="J58" i="2" s="1"/>
  <c r="J53" i="2"/>
  <c r="J50" i="2"/>
  <c r="I50" i="2"/>
  <c r="H50" i="2"/>
  <c r="J49" i="2"/>
  <c r="J48" i="2"/>
  <c r="J47" i="2"/>
  <c r="I44" i="2"/>
  <c r="H42" i="2"/>
  <c r="J42" i="2" s="1"/>
  <c r="H41" i="2"/>
  <c r="J41" i="2" s="1"/>
  <c r="I37" i="2"/>
  <c r="H37" i="2"/>
  <c r="J37" i="2" s="1"/>
  <c r="J36" i="2"/>
  <c r="J35" i="2"/>
  <c r="H33" i="2"/>
  <c r="J33" i="2" s="1"/>
  <c r="J32" i="2"/>
  <c r="I30" i="2"/>
  <c r="H30" i="2"/>
  <c r="J30" i="2" s="1"/>
  <c r="J29" i="2"/>
  <c r="J28" i="2"/>
  <c r="J27" i="2"/>
  <c r="J26" i="2"/>
  <c r="I24" i="2"/>
  <c r="I38" i="2" s="1"/>
  <c r="I102" i="2" s="1"/>
  <c r="J23" i="2"/>
  <c r="J22" i="2"/>
  <c r="J21" i="2"/>
  <c r="J20" i="2"/>
  <c r="H19" i="2"/>
  <c r="H24" i="2" s="1"/>
  <c r="J18" i="2"/>
  <c r="J13" i="2"/>
  <c r="I13" i="2"/>
  <c r="I103" i="2" s="1"/>
  <c r="I109" i="2" s="1"/>
  <c r="H13" i="2"/>
  <c r="H103" i="2" s="1"/>
  <c r="I12" i="2"/>
  <c r="H12" i="2"/>
  <c r="J12" i="2" s="1"/>
  <c r="J11" i="2"/>
  <c r="J10" i="2"/>
  <c r="J9" i="2"/>
  <c r="J8" i="2"/>
  <c r="J7" i="2"/>
  <c r="AB15" i="3" l="1"/>
  <c r="Z16" i="3"/>
  <c r="T45" i="3"/>
  <c r="AI84" i="3"/>
  <c r="J103" i="2"/>
  <c r="S85" i="3"/>
  <c r="T118" i="3"/>
  <c r="P15" i="3"/>
  <c r="N16" i="3"/>
  <c r="H98" i="2"/>
  <c r="J98" i="2" s="1"/>
  <c r="J97" i="2"/>
  <c r="AN45" i="3"/>
  <c r="X45" i="3"/>
  <c r="W118" i="3"/>
  <c r="P133" i="3"/>
  <c r="H38" i="2"/>
  <c r="J24" i="2"/>
  <c r="Q16" i="3"/>
  <c r="S15" i="3"/>
  <c r="K45" i="3"/>
  <c r="AG45" i="3"/>
  <c r="AI45" i="3" s="1"/>
  <c r="AK45" i="3"/>
  <c r="AI125" i="3"/>
  <c r="S133" i="3"/>
  <c r="R16" i="3"/>
  <c r="T15" i="3"/>
  <c r="AH45" i="3"/>
  <c r="AJ45" i="3" s="1"/>
  <c r="AM45" i="3"/>
  <c r="L45" i="3"/>
  <c r="AC16" i="3"/>
  <c r="H68" i="2"/>
  <c r="J68" i="2" s="1"/>
  <c r="J67" i="2"/>
  <c r="O15" i="3"/>
  <c r="AA45" i="3"/>
  <c r="AN85" i="3"/>
  <c r="V16" i="3"/>
  <c r="X15" i="3"/>
  <c r="AA15" i="3"/>
  <c r="R127" i="3"/>
  <c r="AN133" i="3"/>
  <c r="P45" i="3"/>
  <c r="N86" i="3"/>
  <c r="AF118" i="3"/>
  <c r="AB133" i="3"/>
  <c r="AJ14" i="3"/>
  <c r="AF45" i="3"/>
  <c r="AF85" i="3"/>
  <c r="H43" i="2"/>
  <c r="AJ9" i="3"/>
  <c r="AK14" i="3"/>
  <c r="AD15" i="3"/>
  <c r="AE15" i="3" s="1"/>
  <c r="AJ21" i="3"/>
  <c r="AK26" i="3"/>
  <c r="AM35" i="3"/>
  <c r="AH43" i="3"/>
  <c r="AJ43" i="3" s="1"/>
  <c r="T54" i="3"/>
  <c r="AF54" i="3"/>
  <c r="AJ58" i="3"/>
  <c r="AH60" i="3"/>
  <c r="AI66" i="3"/>
  <c r="AJ69" i="3"/>
  <c r="AJ78" i="3"/>
  <c r="L84" i="3"/>
  <c r="X84" i="3"/>
  <c r="V86" i="3"/>
  <c r="P95" i="3"/>
  <c r="AB95" i="3"/>
  <c r="AJ99" i="3"/>
  <c r="AJ103" i="3"/>
  <c r="AI110" i="3"/>
  <c r="AI116" i="3"/>
  <c r="P117" i="3"/>
  <c r="AB117" i="3"/>
  <c r="I118" i="3"/>
  <c r="L132" i="3"/>
  <c r="X132" i="3"/>
  <c r="AN132" i="3"/>
  <c r="AM14" i="3"/>
  <c r="AM26" i="3"/>
  <c r="AG54" i="3"/>
  <c r="AI54" i="3" s="1"/>
  <c r="J118" i="3"/>
  <c r="V118" i="3"/>
  <c r="N127" i="3"/>
  <c r="I133" i="3"/>
  <c r="U133" i="3"/>
  <c r="W133" i="3" s="1"/>
  <c r="J64" i="2"/>
  <c r="O14" i="3"/>
  <c r="AA14" i="3"/>
  <c r="AN14" i="3"/>
  <c r="M16" i="3"/>
  <c r="AK16" i="3" s="1"/>
  <c r="Y16" i="3"/>
  <c r="O26" i="3"/>
  <c r="AA26" i="3"/>
  <c r="AN26" i="3"/>
  <c r="AH54" i="3"/>
  <c r="AM84" i="3"/>
  <c r="AM125" i="3"/>
  <c r="J133" i="3"/>
  <c r="AG15" i="3"/>
  <c r="AK43" i="3"/>
  <c r="AK60" i="3"/>
  <c r="AG72" i="3"/>
  <c r="M86" i="3"/>
  <c r="O86" i="3" s="1"/>
  <c r="O132" i="3"/>
  <c r="AA132" i="3"/>
  <c r="J15" i="3"/>
  <c r="L54" i="3"/>
  <c r="X54" i="3"/>
  <c r="AH72" i="3"/>
  <c r="AJ72" i="3" s="1"/>
  <c r="I85" i="3"/>
  <c r="I86" i="3" s="1"/>
  <c r="U85" i="3"/>
  <c r="W85" i="3" s="1"/>
  <c r="T95" i="3"/>
  <c r="AF95" i="3"/>
  <c r="P132" i="3"/>
  <c r="AB132" i="3"/>
  <c r="K15" i="3"/>
  <c r="W15" i="3"/>
  <c r="S35" i="3"/>
  <c r="AE35" i="3"/>
  <c r="O43" i="3"/>
  <c r="AA43" i="3"/>
  <c r="AK54" i="3"/>
  <c r="O60" i="3"/>
  <c r="AA60" i="3"/>
  <c r="K72" i="3"/>
  <c r="W72" i="3"/>
  <c r="AI76" i="3"/>
  <c r="J85" i="3"/>
  <c r="J86" i="3" s="1"/>
  <c r="AI90" i="3"/>
  <c r="AI92" i="3"/>
  <c r="AG95" i="3"/>
  <c r="AI109" i="3"/>
  <c r="AI115" i="3"/>
  <c r="AG117" i="3"/>
  <c r="AI117" i="3" s="1"/>
  <c r="N118" i="3"/>
  <c r="P118" i="3" s="1"/>
  <c r="Z118" i="3"/>
  <c r="AB118" i="3" s="1"/>
  <c r="AD127" i="3"/>
  <c r="J19" i="2"/>
  <c r="S14" i="3"/>
  <c r="S26" i="3"/>
  <c r="AE26" i="3"/>
  <c r="AM54" i="3"/>
  <c r="L72" i="3"/>
  <c r="AH95" i="3"/>
  <c r="AJ95" i="3" s="1"/>
  <c r="AH117" i="3"/>
  <c r="AG132" i="3"/>
  <c r="AI132" i="3" s="1"/>
  <c r="AK15" i="3"/>
  <c r="AG35" i="3"/>
  <c r="AI35" i="3" s="1"/>
  <c r="Q86" i="3"/>
  <c r="S86" i="3" s="1"/>
  <c r="AC86" i="3"/>
  <c r="AE86" i="3" s="1"/>
  <c r="S132" i="3"/>
  <c r="AH132" i="3"/>
  <c r="AG26" i="3"/>
  <c r="M85" i="3"/>
  <c r="O85" i="3" s="1"/>
  <c r="Y85" i="3"/>
  <c r="AA85" i="3" s="1"/>
  <c r="X95" i="3"/>
  <c r="X117" i="3"/>
  <c r="T132" i="3"/>
  <c r="AH26" i="3"/>
  <c r="AJ26" i="3" s="1"/>
  <c r="K35" i="3"/>
  <c r="W35" i="3"/>
  <c r="AI39" i="3"/>
  <c r="S43" i="3"/>
  <c r="AE43" i="3"/>
  <c r="S60" i="3"/>
  <c r="AE60" i="3"/>
  <c r="AI67" i="3"/>
  <c r="O72" i="3"/>
  <c r="AA72" i="3"/>
  <c r="AN72" i="3"/>
  <c r="AI97" i="3"/>
  <c r="AI101" i="3"/>
  <c r="AI113" i="3"/>
  <c r="L35" i="3"/>
  <c r="AH84" i="3"/>
  <c r="AJ84" i="3" s="1"/>
  <c r="AM95" i="3"/>
  <c r="AM117" i="3"/>
  <c r="AH125" i="3"/>
  <c r="AJ125" i="3" s="1"/>
  <c r="AK132" i="3"/>
  <c r="AG60" i="3"/>
  <c r="AI60" i="3" s="1"/>
  <c r="AM86" i="3" l="1"/>
  <c r="L86" i="3"/>
  <c r="AH86" i="3"/>
  <c r="J127" i="3"/>
  <c r="K86" i="3"/>
  <c r="I127" i="3"/>
  <c r="AJ132" i="3"/>
  <c r="AA16" i="3"/>
  <c r="AN15" i="3"/>
  <c r="T16" i="3"/>
  <c r="R128" i="3"/>
  <c r="AN86" i="3"/>
  <c r="X16" i="3"/>
  <c r="AH133" i="3"/>
  <c r="AJ133" i="3" s="1"/>
  <c r="L133" i="3"/>
  <c r="AM133" i="3"/>
  <c r="V127" i="3"/>
  <c r="V128" i="3" s="1"/>
  <c r="AI43" i="3"/>
  <c r="AJ117" i="3"/>
  <c r="W16" i="3"/>
  <c r="M127" i="3"/>
  <c r="O127" i="3" s="1"/>
  <c r="AI95" i="3"/>
  <c r="AK118" i="3"/>
  <c r="K118" i="3"/>
  <c r="AG118" i="3"/>
  <c r="AD16" i="3"/>
  <c r="AF15" i="3"/>
  <c r="AF86" i="3"/>
  <c r="P85" i="3"/>
  <c r="P86" i="3"/>
  <c r="AG133" i="3"/>
  <c r="K133" i="3"/>
  <c r="AK133" i="3"/>
  <c r="X133" i="3"/>
  <c r="AA118" i="3"/>
  <c r="U86" i="3"/>
  <c r="AK85" i="3"/>
  <c r="K85" i="3"/>
  <c r="AG85" i="3"/>
  <c r="AI26" i="3"/>
  <c r="J16" i="3"/>
  <c r="AM15" i="3"/>
  <c r="L15" i="3"/>
  <c r="AH15" i="3"/>
  <c r="AJ15" i="3" s="1"/>
  <c r="AJ54" i="3"/>
  <c r="Z127" i="3"/>
  <c r="X85" i="3"/>
  <c r="AM85" i="3"/>
  <c r="L85" i="3"/>
  <c r="AH85" i="3"/>
  <c r="AJ85" i="3" s="1"/>
  <c r="P127" i="3"/>
  <c r="H44" i="2"/>
  <c r="J44" i="2" s="1"/>
  <c r="J43" i="2"/>
  <c r="N128" i="3"/>
  <c r="P16" i="3"/>
  <c r="AN118" i="3"/>
  <c r="X118" i="3"/>
  <c r="AJ60" i="3"/>
  <c r="O118" i="3"/>
  <c r="AB85" i="3"/>
  <c r="S16" i="3"/>
  <c r="AB16" i="3"/>
  <c r="Y86" i="3"/>
  <c r="AM118" i="3"/>
  <c r="L118" i="3"/>
  <c r="AH118" i="3"/>
  <c r="AJ118" i="3" s="1"/>
  <c r="AF127" i="3"/>
  <c r="Q127" i="3"/>
  <c r="S127" i="3" s="1"/>
  <c r="AG16" i="3"/>
  <c r="H102" i="2"/>
  <c r="J38" i="2"/>
  <c r="T86" i="3"/>
  <c r="AI72" i="3"/>
  <c r="M128" i="3"/>
  <c r="O16" i="3"/>
  <c r="AC127" i="3"/>
  <c r="AE127" i="3" s="1"/>
  <c r="AJ35" i="3"/>
  <c r="V134" i="3" l="1"/>
  <c r="AI85" i="3"/>
  <c r="J102" i="2"/>
  <c r="H109" i="2"/>
  <c r="AI118" i="3"/>
  <c r="W86" i="3"/>
  <c r="U127" i="3"/>
  <c r="AG127" i="3" s="1"/>
  <c r="AI127" i="3" s="1"/>
  <c r="K127" i="3"/>
  <c r="I128" i="3"/>
  <c r="Q128" i="3"/>
  <c r="AF16" i="3"/>
  <c r="AD128" i="3"/>
  <c r="AN16" i="3"/>
  <c r="AK86" i="3"/>
  <c r="AG86" i="3"/>
  <c r="AI86" i="3" s="1"/>
  <c r="X127" i="3"/>
  <c r="AN127" i="3"/>
  <c r="N134" i="3"/>
  <c r="P134" i="3" s="1"/>
  <c r="P128" i="3"/>
  <c r="AI133" i="3"/>
  <c r="AI15" i="3"/>
  <c r="X86" i="3"/>
  <c r="L127" i="3"/>
  <c r="AH127" i="3"/>
  <c r="AM127" i="3"/>
  <c r="AA86" i="3"/>
  <c r="Y127" i="3"/>
  <c r="AB86" i="3"/>
  <c r="T127" i="3"/>
  <c r="AJ86" i="3"/>
  <c r="M134" i="3"/>
  <c r="O128" i="3"/>
  <c r="AH16" i="3"/>
  <c r="AJ16" i="3" s="1"/>
  <c r="J128" i="3"/>
  <c r="AM16" i="3"/>
  <c r="L16" i="3"/>
  <c r="K16" i="3"/>
  <c r="AE16" i="3"/>
  <c r="R134" i="3"/>
  <c r="T128" i="3"/>
  <c r="Z128" i="3"/>
  <c r="AC128" i="3"/>
  <c r="W127" i="3" l="1"/>
  <c r="U128" i="3"/>
  <c r="AC134" i="3"/>
  <c r="AE128" i="3"/>
  <c r="Z134" i="3"/>
  <c r="AB128" i="3"/>
  <c r="AA127" i="3"/>
  <c r="Y128" i="3"/>
  <c r="AI16" i="3"/>
  <c r="AJ127" i="3"/>
  <c r="AB127" i="3"/>
  <c r="AD134" i="3"/>
  <c r="AF134" i="3" s="1"/>
  <c r="AF128" i="3"/>
  <c r="AM128" i="3"/>
  <c r="J134" i="3"/>
  <c r="L128" i="3"/>
  <c r="AH128" i="3"/>
  <c r="Q134" i="3"/>
  <c r="S134" i="3" s="1"/>
  <c r="S128" i="3"/>
  <c r="AK128" i="3"/>
  <c r="I134" i="3"/>
  <c r="K128" i="3"/>
  <c r="AG128" i="3"/>
  <c r="AI128" i="3" s="1"/>
  <c r="O134" i="3"/>
  <c r="AK127" i="3"/>
  <c r="AN128" i="3"/>
  <c r="AN134" i="3" l="1"/>
  <c r="Y134" i="3"/>
  <c r="AA134" i="3" s="1"/>
  <c r="AA128" i="3"/>
  <c r="K134" i="3"/>
  <c r="AB134" i="3"/>
  <c r="AM134" i="3"/>
  <c r="L134" i="3"/>
  <c r="AH134" i="3"/>
  <c r="T134" i="3"/>
  <c r="AE134" i="3"/>
  <c r="AJ128" i="3"/>
  <c r="U134" i="3"/>
  <c r="AK134" i="3" s="1"/>
  <c r="W128" i="3"/>
  <c r="X128" i="3"/>
  <c r="AG134" i="3" l="1"/>
  <c r="AI134" i="3" s="1"/>
  <c r="W134" i="3"/>
  <c r="X134" i="3"/>
  <c r="AJ134" i="3" l="1"/>
</calcChain>
</file>

<file path=xl/sharedStrings.xml><?xml version="1.0" encoding="utf-8"?>
<sst xmlns="http://schemas.openxmlformats.org/spreadsheetml/2006/main" count="315" uniqueCount="188">
  <si>
    <t>FY23 proposed</t>
  </si>
  <si>
    <t>FY22 budget</t>
  </si>
  <si>
    <t>%change</t>
  </si>
  <si>
    <t xml:space="preserve">assumptions, etc. </t>
  </si>
  <si>
    <t>Ordinary Income/Expense</t>
  </si>
  <si>
    <t>Income</t>
  </si>
  <si>
    <t>42006 · Strike Fund Income</t>
  </si>
  <si>
    <t>no potential for strike this FY, our contract expires June 2023</t>
  </si>
  <si>
    <t>Revenue</t>
  </si>
  <si>
    <t>40005 · Associate Member Dues</t>
  </si>
  <si>
    <t>we are now tracking AM dues!</t>
  </si>
  <si>
    <t>42000 · GTFF Trust/Insurance Admin Fees</t>
  </si>
  <si>
    <t>per CBA</t>
  </si>
  <si>
    <t>42005 · Interest Income</t>
  </si>
  <si>
    <t>40000 · Member Dues</t>
  </si>
  <si>
    <t>FY21 dues $524,000</t>
  </si>
  <si>
    <t>44000 · Other Income</t>
  </si>
  <si>
    <t>Trust annual bill for shared expenses</t>
  </si>
  <si>
    <t>43000 · Training Grant Income</t>
  </si>
  <si>
    <t>effectively dues from TG recipients (NSF and others)</t>
  </si>
  <si>
    <t>Total Revenue</t>
  </si>
  <si>
    <t>Total Income</t>
  </si>
  <si>
    <t>Gross Profit</t>
  </si>
  <si>
    <t>Expense</t>
  </si>
  <si>
    <t>Office Expenses</t>
  </si>
  <si>
    <t>IT</t>
  </si>
  <si>
    <t>61006 · Database Hosting</t>
  </si>
  <si>
    <t>upgrades in Airtable</t>
  </si>
  <si>
    <t>61035 · Phone/Internet</t>
  </si>
  <si>
    <t>Comcast</t>
  </si>
  <si>
    <t>61037 · Website Hosting</t>
  </si>
  <si>
    <t>GoDaddy = $30/yr</t>
  </si>
  <si>
    <t>61039 · Email Hosting-Google</t>
  </si>
  <si>
    <t>Google, $96/mo</t>
  </si>
  <si>
    <t>61000 · Tech Support</t>
  </si>
  <si>
    <t>overdue for upgrades, potential for repairs</t>
  </si>
  <si>
    <t>61009 · Computer Hardware/Software</t>
  </si>
  <si>
    <t>QB=$570/yr, Microsoft Office Suite ($216), Adobe ($180/device), McCaffee ($120)</t>
  </si>
  <si>
    <t>Total IT</t>
  </si>
  <si>
    <t>Building</t>
  </si>
  <si>
    <t>61001 · Maintenance</t>
  </si>
  <si>
    <t>61005 · Rent</t>
  </si>
  <si>
    <t>PeaceHealth no longer charges maintenance monthly</t>
  </si>
  <si>
    <t>61020 · Property/Liability Insurance</t>
  </si>
  <si>
    <t>umbrella coverage</t>
  </si>
  <si>
    <t>61025 · Electricity</t>
  </si>
  <si>
    <t>old electric heater replaced recently</t>
  </si>
  <si>
    <t>Total Building</t>
  </si>
  <si>
    <t>Supplies</t>
  </si>
  <si>
    <t>61040 · Postage/Shipping</t>
  </si>
  <si>
    <t>stamps</t>
  </si>
  <si>
    <t>61050 · Copier</t>
  </si>
  <si>
    <t>our copier is leased from CTX, $90/mo</t>
  </si>
  <si>
    <t>61070 · Check Printing &amp; Bank Fees</t>
  </si>
  <si>
    <t>no checks, $16/mo OCCU Optimum checking, + Paypal fee (3%)</t>
  </si>
  <si>
    <t>61055 · Furniture and Equipment</t>
  </si>
  <si>
    <t>chairs for staff and treasurer desk</t>
  </si>
  <si>
    <t>61065 · Office Supplies</t>
  </si>
  <si>
    <t>Staples purchases</t>
  </si>
  <si>
    <t>Total Supplies</t>
  </si>
  <si>
    <t>Total Office Expenses</t>
  </si>
  <si>
    <t>64000 · Miscellaneous</t>
  </si>
  <si>
    <t>Representation and Affiliation</t>
  </si>
  <si>
    <t>60005 · AFT-OR Fees</t>
  </si>
  <si>
    <t>60010 · AFT Fees</t>
  </si>
  <si>
    <t>60015 · AFL-CIO Fees</t>
  </si>
  <si>
    <t>Total Representation and Affiliation</t>
  </si>
  <si>
    <t>Staff Expenses</t>
  </si>
  <si>
    <t>Payroll &amp; Insurance</t>
  </si>
  <si>
    <t>63055 · PR Admin &amp; Bookkeeping</t>
  </si>
  <si>
    <t>Janice Addi</t>
  </si>
  <si>
    <t>63050 · Payroll Taxes</t>
  </si>
  <si>
    <t>63065 · Worker's Comp Insurance</t>
  </si>
  <si>
    <t>Total Payroll &amp; Insurance</t>
  </si>
  <si>
    <t>Wages &amp; Benefits</t>
  </si>
  <si>
    <t>Benefits Administrator</t>
  </si>
  <si>
    <t>63000 · BA Education &amp; Development</t>
  </si>
  <si>
    <t>63005 · BA Health Benefits</t>
  </si>
  <si>
    <t>63011 · BA Retirement Fund</t>
  </si>
  <si>
    <t>63015 · BA Wages</t>
  </si>
  <si>
    <t>63060 · BA Staff Bonus</t>
  </si>
  <si>
    <t>Total Benefits Administrator</t>
  </si>
  <si>
    <t>Staff Organizer</t>
  </si>
  <si>
    <t>63036 · SO Cell Phone Reimbursement</t>
  </si>
  <si>
    <t>63020 · SO Education &amp; Development</t>
  </si>
  <si>
    <t>63025 · SO Health Benefits</t>
  </si>
  <si>
    <t>63035 · SO Conference Travel Stipend</t>
  </si>
  <si>
    <t>63040 · SO Retirement Fund</t>
  </si>
  <si>
    <t>63045 · SO Wages</t>
  </si>
  <si>
    <t>63047 · SO Staff Bonuses</t>
  </si>
  <si>
    <t>Total Staff Organizer</t>
  </si>
  <si>
    <t>Total Staff Expenses</t>
  </si>
  <si>
    <t>Union Expenses</t>
  </si>
  <si>
    <t>Conventions &amp; Conferences</t>
  </si>
  <si>
    <t>62000 · AFT-OR Convention</t>
  </si>
  <si>
    <t xml:space="preserve">used FY17 data for </t>
  </si>
  <si>
    <t>62002 · AGEL</t>
  </si>
  <si>
    <t>62004 · Winter/Summer School</t>
  </si>
  <si>
    <t>62005 · Other Conventions &amp; Confer.</t>
  </si>
  <si>
    <t>Total Conventions &amp; Conferences</t>
  </si>
  <si>
    <t>Union Operations</t>
  </si>
  <si>
    <t>62080 · Committee Funding</t>
  </si>
  <si>
    <t>62047 · Political Campaigns</t>
  </si>
  <si>
    <t>62046 · Information Requests</t>
  </si>
  <si>
    <t>use hist data, avg of last 3 years expenditures, $138 avg</t>
  </si>
  <si>
    <t>62077 · Board Stipends</t>
  </si>
  <si>
    <t>per member per term (11 members x 3 terms, $100pp)</t>
  </si>
  <si>
    <t>62078 · Lead Steward Stipends</t>
  </si>
  <si>
    <t>per lead per term (4 leads x 3 terms, $50pp)</t>
  </si>
  <si>
    <t>62020 · Postage &amp; Printing</t>
  </si>
  <si>
    <t>used hist (6yr) data ($510)</t>
  </si>
  <si>
    <t>62025 · General Membership Meetings</t>
  </si>
  <si>
    <t>per GMM, planning for 4 in person ($1500 each)</t>
  </si>
  <si>
    <t>62030 · Executive Council</t>
  </si>
  <si>
    <t>used pre-covid data</t>
  </si>
  <si>
    <t>62010 · E-Board</t>
  </si>
  <si>
    <t>62035 · Training</t>
  </si>
  <si>
    <t>62015 · Dept Recruitment and Mtgs</t>
  </si>
  <si>
    <t>62017 · Health Care Barbeque</t>
  </si>
  <si>
    <t>62050 · Member Communications</t>
  </si>
  <si>
    <t>Constant Contact subscription</t>
  </si>
  <si>
    <t>62055 · Bargaining</t>
  </si>
  <si>
    <t>use 18-19 data, providing food for meetings, generously</t>
  </si>
  <si>
    <t>62060 · Arbitration/Legal</t>
  </si>
  <si>
    <t>includes potential mediation fees (not likely to be used)</t>
  </si>
  <si>
    <t>62061 · Accounting Services</t>
  </si>
  <si>
    <t xml:space="preserve">plan for financial review </t>
  </si>
  <si>
    <t>62075 · Caucus Funding</t>
  </si>
  <si>
    <t>$3k, promote field trips and other big events!!</t>
  </si>
  <si>
    <t>64020 · Mutual Aid Fund</t>
  </si>
  <si>
    <t>some of this money comes from reserves</t>
  </si>
  <si>
    <t>62040 · Promotion &amp; Recognition</t>
  </si>
  <si>
    <t>6yr avg: sinage, flyers, swag…</t>
  </si>
  <si>
    <t>62045 · Socials &amp; Celebrations</t>
  </si>
  <si>
    <t>Total Union Operations</t>
  </si>
  <si>
    <t>Total Union Expenses</t>
  </si>
  <si>
    <t>Donations</t>
  </si>
  <si>
    <t>62065 · Discretionary Contributions</t>
  </si>
  <si>
    <t>Total Donations</t>
  </si>
  <si>
    <t>Total Expense</t>
  </si>
  <si>
    <t>Net Ordinary Income</t>
  </si>
  <si>
    <t>Other Income/Expense</t>
  </si>
  <si>
    <t>Other Expense</t>
  </si>
  <si>
    <t>Strike Expenses</t>
  </si>
  <si>
    <t>Total Other Expense</t>
  </si>
  <si>
    <t>Net Other Income</t>
  </si>
  <si>
    <t>TOTAL</t>
  </si>
  <si>
    <t>Average</t>
  </si>
  <si>
    <t>Jul '16 - Jun 17</t>
  </si>
  <si>
    <t>Budget</t>
  </si>
  <si>
    <t>$ Over Budget</t>
  </si>
  <si>
    <t>% of Budget</t>
  </si>
  <si>
    <t>Jul '17 - Jun 18</t>
  </si>
  <si>
    <t>Jul '18 - Jun 19</t>
  </si>
  <si>
    <t>Jul '19 - Jun 20</t>
  </si>
  <si>
    <t>Jul '20 - Jun 21</t>
  </si>
  <si>
    <t>Jul '21 - Jun 22</t>
  </si>
  <si>
    <t>Jul '16 - Jun 22</t>
  </si>
  <si>
    <t>6yr actual</t>
  </si>
  <si>
    <t>17-19 budget</t>
  </si>
  <si>
    <t>19-22 budget</t>
  </si>
  <si>
    <t>41000 · Fair Share Fees Income</t>
  </si>
  <si>
    <t>61010 · Cleaning Services</t>
  </si>
  <si>
    <t>61015 · HVAC Maint./Repair B.H.</t>
  </si>
  <si>
    <t>61030 · Garbage B.G.</t>
  </si>
  <si>
    <t>61042 · General Printing</t>
  </si>
  <si>
    <t>Office Expenses - Other</t>
  </si>
  <si>
    <t>60020 · LCCLC Fees</t>
  </si>
  <si>
    <t>USLAW</t>
  </si>
  <si>
    <t>Representation and Affiliation - Other</t>
  </si>
  <si>
    <t>66000 · Payroll Expenses</t>
  </si>
  <si>
    <t>63007 · Parking Expense SB.P.</t>
  </si>
  <si>
    <t>63010 · BA Transportation Expense</t>
  </si>
  <si>
    <t>Benefits Administrator - Other</t>
  </si>
  <si>
    <t>Organizer</t>
  </si>
  <si>
    <t>63027 · Parking Expense SO.P.</t>
  </si>
  <si>
    <t>63030 · SO Transportation Expense</t>
  </si>
  <si>
    <t>Organizer - Other</t>
  </si>
  <si>
    <t>Total Organizer</t>
  </si>
  <si>
    <t>Total Wages &amp; Benefits</t>
  </si>
  <si>
    <t>62003 · CGEU C.CG.</t>
  </si>
  <si>
    <t>Conventions &amp; Conferences - Other</t>
  </si>
  <si>
    <t>62070 · Political Contributions</t>
  </si>
  <si>
    <t>60025 · ESSN</t>
  </si>
  <si>
    <t>60000 · Pride At Work D.PW</t>
  </si>
  <si>
    <t>Donations - Other</t>
  </si>
  <si>
    <t>65000 · Depreciation &amp; Amortization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</si>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</sst>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&quot;$&quot;* #,##0&quot; &quot;;&quot; &quot;&quot;$&quot;* \(#,##0\);&quot; &quot;&quot;$&quot;* &quot;-&quot;??&quot; &quot;"/>
    <numFmt numFmtId="165" formatCode="_-&quot;$&quot;* #,##0_-;_-&quot;$&quot;* \(#,##0\)_-;_-&quot;$&quot;* &quot;-&quot;??;_-@_-"/>
    <numFmt numFmtId="166" formatCode="#,##0%"/>
    <numFmt numFmtId="167" formatCode="#,##0.00;&quot;-&quot;#,##0.00"/>
    <numFmt numFmtId="168" formatCode="#,##0.0#%;&quot;-&quot;#,##0.0#%"/>
  </numFmts>
  <fonts count="6" x14ac:knownFonts="1">
    <font>
      <sz val="11"/>
      <color indexed="8"/>
      <name val="Calibri"/>
    </font>
    <font>
      <sz val="11"/>
      <color indexed="11"/>
      <name val="Tahoma"/>
    </font>
    <font>
      <b/>
      <sz val="12"/>
      <color indexed="8"/>
      <name val="Times New Roman"/>
    </font>
    <font>
      <sz val="12"/>
      <color indexed="8"/>
      <name val="Times New Roman"/>
    </font>
    <font>
      <b/>
      <sz val="8"/>
      <color indexed="8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1" fillId="2" borderId="8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0" borderId="0" xfId="0" applyNumberFormat="1" applyFont="1" applyAlignment="1"/>
    <xf numFmtId="49" fontId="2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164" fontId="3" fillId="0" borderId="10" xfId="0" applyNumberFormat="1" applyFont="1" applyBorder="1" applyAlignment="1"/>
    <xf numFmtId="165" fontId="3" fillId="0" borderId="10" xfId="0" applyNumberFormat="1" applyFont="1" applyBorder="1" applyAlignment="1"/>
    <xf numFmtId="166" fontId="3" fillId="0" borderId="10" xfId="0" applyNumberFormat="1" applyFont="1" applyBorder="1" applyAlignment="1"/>
    <xf numFmtId="49" fontId="3" fillId="0" borderId="10" xfId="0" applyNumberFormat="1" applyFont="1" applyBorder="1" applyAlignment="1"/>
    <xf numFmtId="0" fontId="3" fillId="0" borderId="10" xfId="0" applyFont="1" applyBorder="1" applyAlignment="1"/>
    <xf numFmtId="164" fontId="3" fillId="0" borderId="11" xfId="0" applyNumberFormat="1" applyFont="1" applyBorder="1" applyAlignment="1"/>
    <xf numFmtId="165" fontId="3" fillId="0" borderId="11" xfId="0" applyNumberFormat="1" applyFont="1" applyBorder="1" applyAlignment="1"/>
    <xf numFmtId="166" fontId="3" fillId="0" borderId="11" xfId="0" applyNumberFormat="1" applyFont="1" applyBorder="1" applyAlignment="1"/>
    <xf numFmtId="164" fontId="2" fillId="0" borderId="12" xfId="0" applyNumberFormat="1" applyFont="1" applyBorder="1" applyAlignment="1"/>
    <xf numFmtId="165" fontId="2" fillId="0" borderId="12" xfId="0" applyNumberFormat="1" applyFont="1" applyBorder="1" applyAlignment="1"/>
    <xf numFmtId="166" fontId="2" fillId="0" borderId="12" xfId="0" applyNumberFormat="1" applyFont="1" applyBorder="1" applyAlignment="1"/>
    <xf numFmtId="164" fontId="2" fillId="0" borderId="13" xfId="0" applyNumberFormat="1" applyFont="1" applyBorder="1" applyAlignment="1"/>
    <xf numFmtId="165" fontId="2" fillId="0" borderId="13" xfId="0" applyNumberFormat="1" applyFont="1" applyBorder="1" applyAlignment="1"/>
    <xf numFmtId="166" fontId="2" fillId="0" borderId="13" xfId="0" applyNumberFormat="1" applyFont="1" applyBorder="1" applyAlignment="1"/>
    <xf numFmtId="166" fontId="2" fillId="0" borderId="10" xfId="0" applyNumberFormat="1" applyFont="1" applyBorder="1" applyAlignment="1"/>
    <xf numFmtId="0" fontId="0" fillId="0" borderId="0" xfId="0" applyNumberFormat="1" applyFont="1" applyAlignment="1"/>
    <xf numFmtId="49" fontId="0" fillId="2" borderId="10" xfId="0" applyNumberFormat="1" applyFont="1" applyFill="1" applyBorder="1" applyAlignment="1"/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0" fontId="0" fillId="0" borderId="10" xfId="0" applyFont="1" applyBorder="1" applyAlignment="1"/>
    <xf numFmtId="49" fontId="0" fillId="0" borderId="10" xfId="0" applyNumberFormat="1" applyFont="1" applyBorder="1" applyAlignment="1"/>
    <xf numFmtId="167" fontId="5" fillId="2" borderId="23" xfId="0" applyNumberFormat="1" applyFont="1" applyFill="1" applyBorder="1" applyAlignment="1"/>
    <xf numFmtId="168" fontId="5" fillId="2" borderId="24" xfId="0" applyNumberFormat="1" applyFont="1" applyFill="1" applyBorder="1" applyAlignment="1"/>
    <xf numFmtId="167" fontId="5" fillId="2" borderId="25" xfId="0" applyNumberFormat="1" applyFont="1" applyFill="1" applyBorder="1" applyAlignment="1"/>
    <xf numFmtId="167" fontId="5" fillId="2" borderId="26" xfId="0" applyNumberFormat="1" applyFont="1" applyFill="1" applyBorder="1" applyAlignment="1"/>
    <xf numFmtId="168" fontId="5" fillId="2" borderId="26" xfId="0" applyNumberFormat="1" applyFont="1" applyFill="1" applyBorder="1" applyAlignment="1"/>
    <xf numFmtId="0" fontId="0" fillId="0" borderId="18" xfId="0" applyFont="1" applyBorder="1" applyAlignment="1"/>
    <xf numFmtId="167" fontId="5" fillId="2" borderId="10" xfId="0" applyNumberFormat="1" applyFont="1" applyFill="1" applyBorder="1" applyAlignment="1"/>
    <xf numFmtId="168" fontId="5" fillId="2" borderId="27" xfId="0" applyNumberFormat="1" applyFont="1" applyFill="1" applyBorder="1" applyAlignment="1"/>
    <xf numFmtId="167" fontId="5" fillId="2" borderId="18" xfId="0" applyNumberFormat="1" applyFont="1" applyFill="1" applyBorder="1" applyAlignment="1"/>
    <xf numFmtId="167" fontId="5" fillId="2" borderId="28" xfId="0" applyNumberFormat="1" applyFont="1" applyFill="1" applyBorder="1" applyAlignment="1"/>
    <xf numFmtId="168" fontId="5" fillId="2" borderId="28" xfId="0" applyNumberFormat="1" applyFont="1" applyFill="1" applyBorder="1" applyAlignment="1"/>
    <xf numFmtId="167" fontId="0" fillId="0" borderId="18" xfId="0" applyNumberFormat="1" applyFont="1" applyBorder="1" applyAlignment="1"/>
    <xf numFmtId="167" fontId="0" fillId="0" borderId="10" xfId="0" applyNumberFormat="1" applyFont="1" applyBorder="1" applyAlignment="1"/>
    <xf numFmtId="167" fontId="5" fillId="2" borderId="11" xfId="0" applyNumberFormat="1" applyFont="1" applyFill="1" applyBorder="1" applyAlignment="1"/>
    <xf numFmtId="168" fontId="5" fillId="2" borderId="29" xfId="0" applyNumberFormat="1" applyFont="1" applyFill="1" applyBorder="1" applyAlignment="1"/>
    <xf numFmtId="167" fontId="5" fillId="2" borderId="30" xfId="0" applyNumberFormat="1" applyFont="1" applyFill="1" applyBorder="1" applyAlignment="1"/>
    <xf numFmtId="167" fontId="5" fillId="2" borderId="31" xfId="0" applyNumberFormat="1" applyFont="1" applyFill="1" applyBorder="1" applyAlignment="1"/>
    <xf numFmtId="168" fontId="5" fillId="2" borderId="31" xfId="0" applyNumberFormat="1" applyFont="1" applyFill="1" applyBorder="1" applyAlignment="1"/>
    <xf numFmtId="167" fontId="5" fillId="2" borderId="12" xfId="0" applyNumberFormat="1" applyFont="1" applyFill="1" applyBorder="1" applyAlignment="1"/>
    <xf numFmtId="168" fontId="5" fillId="2" borderId="32" xfId="0" applyNumberFormat="1" applyFont="1" applyFill="1" applyBorder="1" applyAlignment="1"/>
    <xf numFmtId="167" fontId="5" fillId="2" borderId="33" xfId="0" applyNumberFormat="1" applyFont="1" applyFill="1" applyBorder="1" applyAlignment="1"/>
    <xf numFmtId="167" fontId="5" fillId="2" borderId="34" xfId="0" applyNumberFormat="1" applyFont="1" applyFill="1" applyBorder="1" applyAlignment="1"/>
    <xf numFmtId="168" fontId="5" fillId="2" borderId="34" xfId="0" applyNumberFormat="1" applyFont="1" applyFill="1" applyBorder="1" applyAlignment="1"/>
    <xf numFmtId="167" fontId="5" fillId="2" borderId="13" xfId="0" applyNumberFormat="1" applyFont="1" applyFill="1" applyBorder="1" applyAlignment="1"/>
    <xf numFmtId="168" fontId="5" fillId="2" borderId="35" xfId="0" applyNumberFormat="1" applyFont="1" applyFill="1" applyBorder="1" applyAlignment="1"/>
    <xf numFmtId="167" fontId="5" fillId="2" borderId="36" xfId="0" applyNumberFormat="1" applyFont="1" applyFill="1" applyBorder="1" applyAlignment="1"/>
    <xf numFmtId="167" fontId="5" fillId="2" borderId="37" xfId="0" applyNumberFormat="1" applyFont="1" applyFill="1" applyBorder="1" applyAlignment="1"/>
    <xf numFmtId="168" fontId="5" fillId="2" borderId="37" xfId="0" applyNumberFormat="1" applyFont="1" applyFill="1" applyBorder="1" applyAlignment="1"/>
    <xf numFmtId="167" fontId="0" fillId="2" borderId="38" xfId="0" applyNumberFormat="1" applyFont="1" applyFill="1" applyBorder="1" applyAlignment="1"/>
    <xf numFmtId="168" fontId="0" fillId="2" borderId="39" xfId="0" applyNumberFormat="1" applyFont="1" applyFill="1" applyBorder="1" applyAlignment="1"/>
    <xf numFmtId="167" fontId="0" fillId="2" borderId="40" xfId="0" applyNumberFormat="1" applyFont="1" applyFill="1" applyBorder="1" applyAlignment="1"/>
    <xf numFmtId="167" fontId="0" fillId="2" borderId="41" xfId="0" applyNumberFormat="1" applyFont="1" applyFill="1" applyBorder="1" applyAlignment="1"/>
    <xf numFmtId="168" fontId="0" fillId="2" borderId="41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42" xfId="0" applyFont="1" applyFill="1" applyBorder="1" applyAlignment="1"/>
    <xf numFmtId="0" fontId="0" fillId="2" borderId="43" xfId="0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4" fontId="0" fillId="0" borderId="0" xfId="0" applyNumberFormat="1" applyFont="1" applyAlignment="1"/>
    <xf numFmtId="49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BDC0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55725" cy="64909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workbookViewId="0"/>
  </sheetViews>
  <sheetFormatPr defaultColWidth="8.85546875" defaultRowHeight="15" customHeight="1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 customWidth="1"/>
    <col min="8" max="8" width="15.42578125" style="1" customWidth="1"/>
    <col min="9" max="9" width="8.85546875" style="1" customWidth="1"/>
    <col min="10" max="16384" width="8.85546875" style="1"/>
  </cols>
  <sheetData>
    <row r="1" spans="1:8" ht="30" customHeight="1" x14ac:dyDescent="0.25">
      <c r="A1" s="2"/>
      <c r="B1" s="3"/>
      <c r="C1" s="3"/>
      <c r="D1" s="3"/>
      <c r="E1" s="3"/>
      <c r="F1" s="3"/>
      <c r="G1" s="3"/>
      <c r="H1" s="4"/>
    </row>
    <row r="2" spans="1:8" ht="9.9499999999999993" customHeight="1" x14ac:dyDescent="0.25">
      <c r="A2" s="5"/>
      <c r="B2" s="6"/>
      <c r="C2" s="6"/>
      <c r="D2" s="6"/>
      <c r="E2" s="6"/>
      <c r="F2" s="6"/>
      <c r="G2" s="6"/>
      <c r="H2" s="7"/>
    </row>
    <row r="3" spans="1:8" ht="25.5" customHeight="1" x14ac:dyDescent="0.25">
      <c r="A3" s="5"/>
      <c r="B3" s="6"/>
      <c r="C3" s="6"/>
      <c r="D3" s="6"/>
      <c r="E3" s="6"/>
      <c r="F3" s="6"/>
      <c r="G3" s="6"/>
      <c r="H3" s="7"/>
    </row>
    <row r="4" spans="1:8" ht="21" customHeight="1" x14ac:dyDescent="0.25">
      <c r="A4" s="5"/>
      <c r="B4" s="6"/>
      <c r="C4" s="6"/>
      <c r="D4" s="6"/>
      <c r="E4" s="6"/>
      <c r="F4" s="6"/>
      <c r="G4" s="6"/>
      <c r="H4" s="7"/>
    </row>
    <row r="5" spans="1:8" ht="15" customHeight="1" x14ac:dyDescent="0.25">
      <c r="A5" s="5"/>
      <c r="B5" s="6"/>
      <c r="C5" s="6"/>
      <c r="D5" s="6"/>
      <c r="E5" s="6"/>
      <c r="F5" s="6"/>
      <c r="G5" s="6"/>
      <c r="H5" s="7"/>
    </row>
    <row r="6" spans="1:8" ht="17.100000000000001" customHeight="1" x14ac:dyDescent="0.25">
      <c r="A6" s="5"/>
      <c r="B6" s="6"/>
      <c r="C6" s="6"/>
      <c r="D6" s="6"/>
      <c r="E6" s="6"/>
      <c r="F6" s="6"/>
      <c r="G6" s="6"/>
      <c r="H6" s="7"/>
    </row>
    <row r="7" spans="1:8" ht="17.100000000000001" customHeight="1" x14ac:dyDescent="0.25">
      <c r="A7" s="5"/>
      <c r="B7" s="6"/>
      <c r="C7" s="6"/>
      <c r="D7" s="6"/>
      <c r="E7" s="6"/>
      <c r="F7" s="6"/>
      <c r="G7" s="6"/>
      <c r="H7" s="7"/>
    </row>
    <row r="8" spans="1:8" ht="17.100000000000001" customHeight="1" x14ac:dyDescent="0.25">
      <c r="A8" s="5"/>
      <c r="B8" s="6"/>
      <c r="C8" s="6"/>
      <c r="D8" s="6"/>
      <c r="E8" s="6"/>
      <c r="F8" s="6"/>
      <c r="G8" s="6"/>
      <c r="H8" s="7"/>
    </row>
    <row r="9" spans="1:8" ht="17.100000000000001" customHeight="1" x14ac:dyDescent="0.25">
      <c r="A9" s="5"/>
      <c r="B9" s="6"/>
      <c r="C9" s="6"/>
      <c r="D9" s="6"/>
      <c r="E9" s="6"/>
      <c r="F9" s="6"/>
      <c r="G9" s="6"/>
      <c r="H9" s="7"/>
    </row>
    <row r="10" spans="1:8" ht="17.100000000000001" customHeight="1" x14ac:dyDescent="0.25">
      <c r="A10" s="5"/>
      <c r="B10" s="6"/>
      <c r="C10" s="6"/>
      <c r="D10" s="6"/>
      <c r="E10" s="6"/>
      <c r="F10" s="6"/>
      <c r="G10" s="6"/>
      <c r="H10" s="7"/>
    </row>
    <row r="11" spans="1:8" ht="17.100000000000001" customHeight="1" x14ac:dyDescent="0.25">
      <c r="A11" s="5"/>
      <c r="B11" s="6"/>
      <c r="C11" s="6"/>
      <c r="D11" s="6"/>
      <c r="E11" s="6"/>
      <c r="F11" s="6"/>
      <c r="G11" s="6"/>
      <c r="H11" s="7"/>
    </row>
    <row r="12" spans="1:8" ht="17.100000000000001" customHeight="1" x14ac:dyDescent="0.25">
      <c r="A12" s="5"/>
      <c r="B12" s="6"/>
      <c r="C12" s="6"/>
      <c r="D12" s="6"/>
      <c r="E12" s="6"/>
      <c r="F12" s="6"/>
      <c r="G12" s="6"/>
      <c r="H12" s="7"/>
    </row>
    <row r="13" spans="1:8" ht="17.100000000000001" customHeight="1" x14ac:dyDescent="0.25">
      <c r="A13" s="5"/>
      <c r="B13" s="6"/>
      <c r="C13" s="6"/>
      <c r="D13" s="6"/>
      <c r="E13" s="6"/>
      <c r="F13" s="6"/>
      <c r="G13" s="6"/>
      <c r="H13" s="7"/>
    </row>
    <row r="14" spans="1:8" ht="17.100000000000001" customHeight="1" x14ac:dyDescent="0.25">
      <c r="A14" s="5"/>
      <c r="B14" s="6"/>
      <c r="C14" s="6"/>
      <c r="D14" s="6"/>
      <c r="E14" s="6"/>
      <c r="F14" s="6"/>
      <c r="G14" s="6"/>
      <c r="H14" s="7"/>
    </row>
    <row r="15" spans="1:8" ht="17.100000000000001" customHeight="1" x14ac:dyDescent="0.25">
      <c r="A15" s="5"/>
      <c r="B15" s="6"/>
      <c r="C15" s="6"/>
      <c r="D15" s="6"/>
      <c r="E15" s="6"/>
      <c r="F15" s="6"/>
      <c r="G15" s="6"/>
      <c r="H15" s="7"/>
    </row>
    <row r="16" spans="1:8" ht="17.100000000000001" customHeight="1" x14ac:dyDescent="0.25">
      <c r="A16" s="5"/>
      <c r="B16" s="6"/>
      <c r="C16" s="6"/>
      <c r="D16" s="6"/>
      <c r="E16" s="6"/>
      <c r="F16" s="6"/>
      <c r="G16" s="6"/>
      <c r="H16" s="7"/>
    </row>
    <row r="17" spans="1:8" ht="17.100000000000001" customHeight="1" x14ac:dyDescent="0.25">
      <c r="A17" s="5"/>
      <c r="B17" s="6"/>
      <c r="C17" s="6"/>
      <c r="D17" s="6"/>
      <c r="E17" s="6"/>
      <c r="F17" s="6"/>
      <c r="G17" s="6"/>
      <c r="H17" s="7"/>
    </row>
    <row r="18" spans="1:8" ht="17.100000000000001" customHeight="1" x14ac:dyDescent="0.25">
      <c r="A18" s="5"/>
      <c r="B18" s="6"/>
      <c r="C18" s="6"/>
      <c r="D18" s="6"/>
      <c r="E18" s="6"/>
      <c r="F18" s="6"/>
      <c r="G18" s="6"/>
      <c r="H18" s="7"/>
    </row>
    <row r="19" spans="1:8" ht="17.100000000000001" customHeight="1" x14ac:dyDescent="0.25">
      <c r="A19" s="5"/>
      <c r="B19" s="6"/>
      <c r="C19" s="6"/>
      <c r="D19" s="6"/>
      <c r="E19" s="6"/>
      <c r="F19" s="6"/>
      <c r="G19" s="6"/>
      <c r="H19" s="7"/>
    </row>
    <row r="20" spans="1:8" ht="15" customHeight="1" x14ac:dyDescent="0.25">
      <c r="A20" s="5"/>
      <c r="B20" s="6"/>
      <c r="C20" s="6"/>
      <c r="D20" s="6"/>
      <c r="E20" s="6"/>
      <c r="F20" s="6"/>
      <c r="G20" s="6"/>
      <c r="H20" s="7"/>
    </row>
    <row r="21" spans="1:8" ht="15" customHeight="1" x14ac:dyDescent="0.25">
      <c r="A21" s="5"/>
      <c r="B21" s="6"/>
      <c r="C21" s="6"/>
      <c r="D21" s="6"/>
      <c r="E21" s="6"/>
      <c r="F21" s="6"/>
      <c r="G21" s="6"/>
      <c r="H21" s="7"/>
    </row>
    <row r="22" spans="1:8" ht="15" customHeight="1" x14ac:dyDescent="0.25">
      <c r="A22" s="5"/>
      <c r="B22" s="6"/>
      <c r="C22" s="6"/>
      <c r="D22" s="6"/>
      <c r="E22" s="6"/>
      <c r="F22" s="6"/>
      <c r="G22" s="6"/>
      <c r="H22" s="7"/>
    </row>
    <row r="23" spans="1:8" ht="15" customHeight="1" x14ac:dyDescent="0.25">
      <c r="A23" s="5"/>
      <c r="B23" s="6"/>
      <c r="C23" s="6"/>
      <c r="D23" s="6"/>
      <c r="E23" s="6"/>
      <c r="F23" s="6"/>
      <c r="G23" s="6"/>
      <c r="H23" s="7"/>
    </row>
    <row r="24" spans="1:8" ht="15" customHeight="1" x14ac:dyDescent="0.25">
      <c r="A24" s="5"/>
      <c r="B24" s="6"/>
      <c r="C24" s="6"/>
      <c r="D24" s="6"/>
      <c r="E24" s="6"/>
      <c r="F24" s="6"/>
      <c r="G24" s="6"/>
      <c r="H24" s="7"/>
    </row>
    <row r="25" spans="1:8" ht="15" customHeight="1" x14ac:dyDescent="0.25">
      <c r="A25" s="5"/>
      <c r="B25" s="6"/>
      <c r="C25" s="6"/>
      <c r="D25" s="6"/>
      <c r="E25" s="6"/>
      <c r="F25" s="6"/>
      <c r="G25" s="6"/>
      <c r="H25" s="7"/>
    </row>
    <row r="26" spans="1:8" ht="15" customHeight="1" x14ac:dyDescent="0.25">
      <c r="A26" s="5"/>
      <c r="B26" s="6"/>
      <c r="C26" s="6"/>
      <c r="D26" s="6"/>
      <c r="E26" s="6"/>
      <c r="F26" s="6"/>
      <c r="G26" s="6"/>
      <c r="H26" s="7"/>
    </row>
    <row r="27" spans="1:8" ht="15" customHeight="1" x14ac:dyDescent="0.25">
      <c r="A27" s="5"/>
      <c r="B27" s="6"/>
      <c r="C27" s="6"/>
      <c r="D27" s="6"/>
      <c r="E27" s="6"/>
      <c r="F27" s="6"/>
      <c r="G27" s="6"/>
      <c r="H27" s="7"/>
    </row>
    <row r="28" spans="1:8" ht="15" customHeight="1" x14ac:dyDescent="0.25">
      <c r="A28" s="5"/>
      <c r="B28" s="6"/>
      <c r="C28" s="6"/>
      <c r="D28" s="6"/>
      <c r="E28" s="6"/>
      <c r="F28" s="6"/>
      <c r="G28" s="6"/>
      <c r="H28" s="7"/>
    </row>
    <row r="29" spans="1:8" ht="15" customHeight="1" x14ac:dyDescent="0.25">
      <c r="A29" s="5"/>
      <c r="B29" s="6"/>
      <c r="C29" s="6"/>
      <c r="D29" s="6"/>
      <c r="E29" s="6"/>
      <c r="F29" s="6"/>
      <c r="G29" s="6"/>
      <c r="H29" s="7"/>
    </row>
    <row r="30" spans="1:8" ht="15" customHeight="1" x14ac:dyDescent="0.25">
      <c r="A30" s="5"/>
      <c r="B30" s="6"/>
      <c r="C30" s="6"/>
      <c r="D30" s="6"/>
      <c r="E30" s="6"/>
      <c r="F30" s="6"/>
      <c r="G30" s="6"/>
      <c r="H30" s="7"/>
    </row>
    <row r="31" spans="1:8" ht="15" customHeight="1" x14ac:dyDescent="0.25">
      <c r="A31" s="5"/>
      <c r="B31" s="6"/>
      <c r="C31" s="6"/>
      <c r="D31" s="6"/>
      <c r="E31" s="6"/>
      <c r="F31" s="6"/>
      <c r="G31" s="6"/>
      <c r="H31" s="7"/>
    </row>
    <row r="32" spans="1:8" ht="15" customHeight="1" x14ac:dyDescent="0.25">
      <c r="A32" s="5"/>
      <c r="B32" s="6"/>
      <c r="C32" s="6"/>
      <c r="D32" s="6"/>
      <c r="E32" s="6"/>
      <c r="F32" s="6"/>
      <c r="G32" s="6"/>
      <c r="H32" s="7"/>
    </row>
    <row r="33" spans="1:8" ht="15" customHeight="1" x14ac:dyDescent="0.25">
      <c r="A33" s="5"/>
      <c r="B33" s="6"/>
      <c r="C33" s="6"/>
      <c r="D33" s="6"/>
      <c r="E33" s="6"/>
      <c r="F33" s="6"/>
      <c r="G33" s="6"/>
      <c r="H33" s="7"/>
    </row>
    <row r="34" spans="1:8" ht="15" customHeight="1" x14ac:dyDescent="0.25">
      <c r="A34" s="5"/>
      <c r="B34" s="6"/>
      <c r="C34" s="6"/>
      <c r="D34" s="6"/>
      <c r="E34" s="6"/>
      <c r="F34" s="6"/>
      <c r="G34" s="6"/>
      <c r="H34" s="7"/>
    </row>
    <row r="35" spans="1:8" ht="15" customHeight="1" x14ac:dyDescent="0.25">
      <c r="A35" s="5"/>
      <c r="B35" s="6"/>
      <c r="C35" s="6"/>
      <c r="D35" s="6"/>
      <c r="E35" s="6"/>
      <c r="F35" s="6"/>
      <c r="G35" s="6"/>
      <c r="H35" s="7"/>
    </row>
    <row r="36" spans="1:8" ht="15" customHeight="1" x14ac:dyDescent="0.25">
      <c r="A36" s="5"/>
      <c r="B36" s="6"/>
      <c r="C36" s="6"/>
      <c r="D36" s="6"/>
      <c r="E36" s="6"/>
      <c r="F36" s="6"/>
      <c r="G36" s="6"/>
      <c r="H36" s="7"/>
    </row>
    <row r="37" spans="1:8" ht="15" customHeight="1" x14ac:dyDescent="0.25">
      <c r="A37" s="5"/>
      <c r="B37" s="6"/>
      <c r="C37" s="6"/>
      <c r="D37" s="6"/>
      <c r="E37" s="6"/>
      <c r="F37" s="6"/>
      <c r="G37" s="6"/>
      <c r="H37" s="7"/>
    </row>
    <row r="38" spans="1:8" ht="15" customHeight="1" x14ac:dyDescent="0.25">
      <c r="A38" s="5"/>
      <c r="B38" s="6"/>
      <c r="C38" s="6"/>
      <c r="D38" s="6"/>
      <c r="E38" s="6"/>
      <c r="F38" s="6"/>
      <c r="G38" s="6"/>
      <c r="H38" s="7"/>
    </row>
    <row r="39" spans="1:8" ht="15" customHeight="1" x14ac:dyDescent="0.25">
      <c r="A39" s="5"/>
      <c r="B39" s="6"/>
      <c r="C39" s="6"/>
      <c r="D39" s="6"/>
      <c r="E39" s="6"/>
      <c r="F39" s="6"/>
      <c r="G39" s="6"/>
      <c r="H39" s="7"/>
    </row>
    <row r="40" spans="1:8" ht="15" customHeight="1" x14ac:dyDescent="0.25">
      <c r="A40" s="8"/>
      <c r="B40" s="9"/>
      <c r="C40" s="9"/>
      <c r="D40" s="10"/>
      <c r="E40" s="10"/>
      <c r="F40" s="10"/>
      <c r="G40" s="10"/>
      <c r="H40" s="1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"/>
  <sheetViews>
    <sheetView showGridLines="0" tabSelected="1" workbookViewId="0">
      <pane ySplit="1" topLeftCell="A59" activePane="bottomLeft" state="frozen"/>
      <selection pane="bottomLeft" activeCell="K34" sqref="K34"/>
    </sheetView>
  </sheetViews>
  <sheetFormatPr defaultColWidth="8.85546875" defaultRowHeight="15" customHeight="1" x14ac:dyDescent="0.25"/>
  <cols>
    <col min="1" max="6" width="3" style="12" customWidth="1"/>
    <col min="7" max="7" width="34.140625" style="12" customWidth="1"/>
    <col min="8" max="9" width="14.140625" style="12" customWidth="1"/>
    <col min="10" max="10" width="8.28515625" style="12" customWidth="1"/>
    <col min="11" max="11" width="77" style="12" customWidth="1"/>
    <col min="12" max="12" width="8.85546875" style="12" customWidth="1"/>
    <col min="13" max="16384" width="8.85546875" style="12"/>
  </cols>
  <sheetData>
    <row r="1" spans="1:11" ht="17.45" customHeight="1" x14ac:dyDescent="0.25">
      <c r="A1" s="13"/>
      <c r="B1" s="13"/>
      <c r="C1" s="13"/>
      <c r="D1" s="13"/>
      <c r="E1" s="13"/>
      <c r="F1" s="13"/>
      <c r="G1" s="13"/>
      <c r="H1" s="13" t="s">
        <v>0</v>
      </c>
      <c r="I1" s="13" t="s">
        <v>1</v>
      </c>
      <c r="J1" s="13" t="s">
        <v>2</v>
      </c>
      <c r="K1" s="14" t="s">
        <v>3</v>
      </c>
    </row>
    <row r="2" spans="1:11" ht="17.45" customHeight="1" x14ac:dyDescent="0.25">
      <c r="A2" s="15" t="s">
        <v>4</v>
      </c>
      <c r="B2" s="15"/>
      <c r="C2" s="15"/>
      <c r="D2" s="15"/>
      <c r="E2" s="15"/>
      <c r="F2" s="15"/>
      <c r="G2" s="15"/>
      <c r="H2" s="16"/>
      <c r="I2" s="16"/>
      <c r="J2" s="16"/>
      <c r="K2" s="16"/>
    </row>
    <row r="3" spans="1:11" ht="17.45" customHeight="1" x14ac:dyDescent="0.25">
      <c r="A3" s="15"/>
      <c r="B3" s="15"/>
      <c r="C3" s="15" t="s">
        <v>5</v>
      </c>
      <c r="D3" s="15"/>
      <c r="E3" s="15"/>
      <c r="F3" s="15"/>
      <c r="G3" s="15"/>
      <c r="H3" s="16"/>
      <c r="I3" s="16"/>
      <c r="J3" s="16"/>
      <c r="K3" s="16"/>
    </row>
    <row r="4" spans="1:11" ht="17.45" customHeight="1" x14ac:dyDescent="0.25">
      <c r="A4" s="15"/>
      <c r="B4" s="15"/>
      <c r="C4" s="15"/>
      <c r="D4" s="15" t="s">
        <v>6</v>
      </c>
      <c r="E4" s="15"/>
      <c r="F4" s="15"/>
      <c r="G4" s="15"/>
      <c r="H4" s="17">
        <v>0</v>
      </c>
      <c r="I4" s="17">
        <v>0</v>
      </c>
      <c r="J4" s="18">
        <v>0</v>
      </c>
      <c r="K4" s="19" t="s">
        <v>7</v>
      </c>
    </row>
    <row r="5" spans="1:11" ht="17.45" customHeight="1" x14ac:dyDescent="0.25">
      <c r="A5" s="15"/>
      <c r="B5" s="15"/>
      <c r="C5" s="15"/>
      <c r="D5" s="15" t="s">
        <v>8</v>
      </c>
      <c r="E5" s="15"/>
      <c r="F5" s="15"/>
      <c r="G5" s="15"/>
      <c r="H5" s="16"/>
      <c r="I5" s="17"/>
      <c r="J5" s="18"/>
      <c r="K5" s="16"/>
    </row>
    <row r="6" spans="1:11" ht="17.45" customHeight="1" x14ac:dyDescent="0.25">
      <c r="A6" s="15"/>
      <c r="B6" s="15"/>
      <c r="C6" s="15"/>
      <c r="D6" s="15"/>
      <c r="E6" s="15" t="s">
        <v>9</v>
      </c>
      <c r="F6" s="15"/>
      <c r="G6" s="15"/>
      <c r="H6" s="16">
        <v>2000</v>
      </c>
      <c r="I6" s="17">
        <v>0</v>
      </c>
      <c r="J6" s="20"/>
      <c r="K6" s="19" t="s">
        <v>10</v>
      </c>
    </row>
    <row r="7" spans="1:11" ht="17.45" customHeight="1" x14ac:dyDescent="0.25">
      <c r="A7" s="15"/>
      <c r="B7" s="15"/>
      <c r="C7" s="15"/>
      <c r="D7" s="15"/>
      <c r="E7" s="15" t="s">
        <v>11</v>
      </c>
      <c r="F7" s="15"/>
      <c r="G7" s="15"/>
      <c r="H7" s="16">
        <v>105797</v>
      </c>
      <c r="I7" s="17">
        <v>102716.04</v>
      </c>
      <c r="J7" s="18">
        <f t="shared" ref="J7:J13" si="0">(H7/I7)-1</f>
        <v>2.9994925816844153E-2</v>
      </c>
      <c r="K7" s="19" t="s">
        <v>12</v>
      </c>
    </row>
    <row r="8" spans="1:11" ht="17.45" customHeight="1" x14ac:dyDescent="0.25">
      <c r="A8" s="15"/>
      <c r="B8" s="15"/>
      <c r="C8" s="15"/>
      <c r="D8" s="15"/>
      <c r="E8" s="15" t="s">
        <v>13</v>
      </c>
      <c r="F8" s="15"/>
      <c r="G8" s="15"/>
      <c r="H8" s="17">
        <v>1000</v>
      </c>
      <c r="I8" s="17">
        <v>999.96</v>
      </c>
      <c r="J8" s="18">
        <f t="shared" si="0"/>
        <v>4.000160006389919E-5</v>
      </c>
      <c r="K8" s="16"/>
    </row>
    <row r="9" spans="1:11" ht="17.45" customHeight="1" x14ac:dyDescent="0.25">
      <c r="A9" s="15"/>
      <c r="B9" s="15"/>
      <c r="C9" s="15"/>
      <c r="D9" s="15"/>
      <c r="E9" s="15" t="s">
        <v>14</v>
      </c>
      <c r="F9" s="15"/>
      <c r="G9" s="15"/>
      <c r="H9" s="16">
        <v>550000</v>
      </c>
      <c r="I9" s="17">
        <v>460000</v>
      </c>
      <c r="J9" s="18">
        <f t="shared" si="0"/>
        <v>0.19565217391304346</v>
      </c>
      <c r="K9" s="19" t="s">
        <v>15</v>
      </c>
    </row>
    <row r="10" spans="1:11" ht="17.45" customHeight="1" x14ac:dyDescent="0.25">
      <c r="A10" s="15"/>
      <c r="B10" s="15"/>
      <c r="C10" s="15"/>
      <c r="D10" s="15"/>
      <c r="E10" s="15" t="s">
        <v>16</v>
      </c>
      <c r="F10" s="15"/>
      <c r="G10" s="15"/>
      <c r="H10" s="16">
        <v>40000</v>
      </c>
      <c r="I10" s="17">
        <v>40000</v>
      </c>
      <c r="J10" s="18">
        <f t="shared" si="0"/>
        <v>0</v>
      </c>
      <c r="K10" s="19" t="s">
        <v>17</v>
      </c>
    </row>
    <row r="11" spans="1:11" ht="18" customHeight="1" x14ac:dyDescent="0.25">
      <c r="A11" s="15"/>
      <c r="B11" s="15"/>
      <c r="C11" s="15"/>
      <c r="D11" s="15"/>
      <c r="E11" s="15" t="s">
        <v>18</v>
      </c>
      <c r="F11" s="15"/>
      <c r="G11" s="15"/>
      <c r="H11" s="21">
        <v>16000</v>
      </c>
      <c r="I11" s="22">
        <v>15000</v>
      </c>
      <c r="J11" s="23">
        <f t="shared" si="0"/>
        <v>6.6666666666666652E-2</v>
      </c>
      <c r="K11" s="19" t="s">
        <v>19</v>
      </c>
    </row>
    <row r="12" spans="1:11" ht="18.399999999999999" customHeight="1" x14ac:dyDescent="0.25">
      <c r="A12" s="15"/>
      <c r="B12" s="15"/>
      <c r="C12" s="15"/>
      <c r="D12" s="15" t="s">
        <v>20</v>
      </c>
      <c r="E12" s="15"/>
      <c r="F12" s="15"/>
      <c r="G12" s="15"/>
      <c r="H12" s="24">
        <f>SUM(H6:H11)</f>
        <v>714797</v>
      </c>
      <c r="I12" s="25">
        <f>SUM(I6:I11)</f>
        <v>618716</v>
      </c>
      <c r="J12" s="26">
        <f t="shared" si="0"/>
        <v>0.15529095740210375</v>
      </c>
      <c r="K12" s="16"/>
    </row>
    <row r="13" spans="1:11" ht="18" customHeight="1" x14ac:dyDescent="0.25">
      <c r="A13" s="15"/>
      <c r="B13" s="15"/>
      <c r="C13" s="15" t="s">
        <v>21</v>
      </c>
      <c r="D13" s="15"/>
      <c r="E13" s="15"/>
      <c r="F13" s="15"/>
      <c r="G13" s="15"/>
      <c r="H13" s="27">
        <f>SUM(H12)</f>
        <v>714797</v>
      </c>
      <c r="I13" s="28">
        <f>SUM(I12)</f>
        <v>618716</v>
      </c>
      <c r="J13" s="29">
        <f t="shared" si="0"/>
        <v>0.15529095740210375</v>
      </c>
      <c r="K13" s="16"/>
    </row>
    <row r="14" spans="1:11" ht="17.45" customHeight="1" x14ac:dyDescent="0.25">
      <c r="A14" s="15"/>
      <c r="B14" s="15" t="s">
        <v>22</v>
      </c>
      <c r="C14" s="15"/>
      <c r="D14" s="15"/>
      <c r="E14" s="15"/>
      <c r="F14" s="15"/>
      <c r="G14" s="15"/>
      <c r="H14" s="16"/>
      <c r="I14" s="17"/>
      <c r="J14" s="18"/>
      <c r="K14" s="16"/>
    </row>
    <row r="15" spans="1:11" ht="17.45" customHeight="1" x14ac:dyDescent="0.25">
      <c r="A15" s="15"/>
      <c r="B15" s="15"/>
      <c r="C15" s="15" t="s">
        <v>23</v>
      </c>
      <c r="D15" s="15"/>
      <c r="E15" s="15"/>
      <c r="F15" s="15"/>
      <c r="G15" s="15"/>
      <c r="H15" s="16"/>
      <c r="I15" s="17"/>
      <c r="J15" s="18"/>
      <c r="K15" s="16"/>
    </row>
    <row r="16" spans="1:11" ht="17.45" customHeight="1" x14ac:dyDescent="0.25">
      <c r="A16" s="15"/>
      <c r="B16" s="15"/>
      <c r="C16" s="15"/>
      <c r="D16" s="15" t="s">
        <v>24</v>
      </c>
      <c r="E16" s="15"/>
      <c r="F16" s="15"/>
      <c r="G16" s="15"/>
      <c r="H16" s="16"/>
      <c r="I16" s="17"/>
      <c r="J16" s="18"/>
      <c r="K16" s="16"/>
    </row>
    <row r="17" spans="1:11" ht="17.45" customHeight="1" x14ac:dyDescent="0.25">
      <c r="A17" s="15"/>
      <c r="B17" s="15"/>
      <c r="C17" s="15"/>
      <c r="D17" s="15"/>
      <c r="E17" s="15" t="s">
        <v>25</v>
      </c>
      <c r="F17" s="15"/>
      <c r="G17" s="15"/>
      <c r="H17" s="16"/>
      <c r="I17" s="17"/>
      <c r="J17" s="18"/>
      <c r="K17" s="16"/>
    </row>
    <row r="18" spans="1:11" ht="17.45" customHeight="1" x14ac:dyDescent="0.25">
      <c r="A18" s="15"/>
      <c r="B18" s="15"/>
      <c r="C18" s="15"/>
      <c r="D18" s="15"/>
      <c r="E18" s="15"/>
      <c r="F18" s="15" t="s">
        <v>26</v>
      </c>
      <c r="G18" s="15"/>
      <c r="H18" s="16">
        <v>1500</v>
      </c>
      <c r="I18" s="17">
        <v>1000</v>
      </c>
      <c r="J18" s="18">
        <f t="shared" ref="J18:J24" si="1">(H18/I18)-1</f>
        <v>0.5</v>
      </c>
      <c r="K18" s="19" t="s">
        <v>27</v>
      </c>
    </row>
    <row r="19" spans="1:11" ht="17.45" customHeight="1" x14ac:dyDescent="0.25">
      <c r="A19" s="15"/>
      <c r="B19" s="15"/>
      <c r="C19" s="15"/>
      <c r="D19" s="15"/>
      <c r="E19" s="15"/>
      <c r="F19" s="15" t="s">
        <v>28</v>
      </c>
      <c r="G19" s="15"/>
      <c r="H19" s="16">
        <f>280*12</f>
        <v>3360</v>
      </c>
      <c r="I19" s="17">
        <v>3000</v>
      </c>
      <c r="J19" s="18">
        <f t="shared" si="1"/>
        <v>0.12000000000000011</v>
      </c>
      <c r="K19" s="19" t="s">
        <v>29</v>
      </c>
    </row>
    <row r="20" spans="1:11" ht="17.45" customHeight="1" x14ac:dyDescent="0.25">
      <c r="A20" s="15"/>
      <c r="B20" s="15"/>
      <c r="C20" s="15"/>
      <c r="D20" s="15"/>
      <c r="E20" s="15"/>
      <c r="F20" s="15" t="s">
        <v>30</v>
      </c>
      <c r="G20" s="15"/>
      <c r="H20" s="16">
        <v>50</v>
      </c>
      <c r="I20" s="17">
        <v>360</v>
      </c>
      <c r="J20" s="18">
        <f t="shared" si="1"/>
        <v>-0.86111111111111116</v>
      </c>
      <c r="K20" s="19" t="s">
        <v>31</v>
      </c>
    </row>
    <row r="21" spans="1:11" ht="17.45" customHeight="1" x14ac:dyDescent="0.25">
      <c r="A21" s="15"/>
      <c r="B21" s="15"/>
      <c r="C21" s="15"/>
      <c r="D21" s="15"/>
      <c r="E21" s="15"/>
      <c r="F21" s="15" t="s">
        <v>32</v>
      </c>
      <c r="G21" s="15"/>
      <c r="H21" s="16">
        <v>1200</v>
      </c>
      <c r="I21" s="17">
        <v>1200</v>
      </c>
      <c r="J21" s="18">
        <f t="shared" si="1"/>
        <v>0</v>
      </c>
      <c r="K21" s="19" t="s">
        <v>33</v>
      </c>
    </row>
    <row r="22" spans="1:11" ht="17.45" customHeight="1" x14ac:dyDescent="0.25">
      <c r="A22" s="15"/>
      <c r="B22" s="15"/>
      <c r="C22" s="15"/>
      <c r="D22" s="15"/>
      <c r="E22" s="15"/>
      <c r="F22" s="15" t="s">
        <v>34</v>
      </c>
      <c r="G22" s="15"/>
      <c r="H22" s="16">
        <v>1000</v>
      </c>
      <c r="I22" s="17">
        <v>350</v>
      </c>
      <c r="J22" s="18">
        <f t="shared" si="1"/>
        <v>1.8571428571428572</v>
      </c>
      <c r="K22" s="19" t="s">
        <v>35</v>
      </c>
    </row>
    <row r="23" spans="1:11" ht="18" customHeight="1" x14ac:dyDescent="0.25">
      <c r="A23" s="15"/>
      <c r="B23" s="15"/>
      <c r="C23" s="15"/>
      <c r="D23" s="15"/>
      <c r="E23" s="15"/>
      <c r="F23" s="15" t="s">
        <v>36</v>
      </c>
      <c r="G23" s="15"/>
      <c r="H23" s="21">
        <v>2000</v>
      </c>
      <c r="I23" s="22">
        <v>1200</v>
      </c>
      <c r="J23" s="23">
        <f t="shared" si="1"/>
        <v>0.66666666666666674</v>
      </c>
      <c r="K23" s="19" t="s">
        <v>37</v>
      </c>
    </row>
    <row r="24" spans="1:11" ht="18" customHeight="1" x14ac:dyDescent="0.25">
      <c r="A24" s="15"/>
      <c r="B24" s="15"/>
      <c r="C24" s="15"/>
      <c r="D24" s="15"/>
      <c r="E24" s="15" t="s">
        <v>38</v>
      </c>
      <c r="F24" s="15"/>
      <c r="G24" s="15"/>
      <c r="H24" s="27">
        <f>SUM(H18:H23)</f>
        <v>9110</v>
      </c>
      <c r="I24" s="27">
        <f>SUM(I18:I23)</f>
        <v>7110</v>
      </c>
      <c r="J24" s="29">
        <f t="shared" si="1"/>
        <v>0.28129395218002817</v>
      </c>
      <c r="K24" s="16"/>
    </row>
    <row r="25" spans="1:11" ht="17.45" customHeight="1" x14ac:dyDescent="0.25">
      <c r="A25" s="15"/>
      <c r="B25" s="15"/>
      <c r="C25" s="15"/>
      <c r="D25" s="15"/>
      <c r="E25" s="15" t="s">
        <v>39</v>
      </c>
      <c r="F25" s="15"/>
      <c r="G25" s="15"/>
      <c r="H25" s="16"/>
      <c r="I25" s="17"/>
      <c r="J25" s="18"/>
      <c r="K25" s="16"/>
    </row>
    <row r="26" spans="1:11" ht="17.45" customHeight="1" x14ac:dyDescent="0.25">
      <c r="A26" s="15"/>
      <c r="B26" s="15"/>
      <c r="C26" s="15"/>
      <c r="D26" s="15"/>
      <c r="E26" s="15"/>
      <c r="F26" s="15" t="s">
        <v>40</v>
      </c>
      <c r="G26" s="15"/>
      <c r="H26" s="17">
        <v>0</v>
      </c>
      <c r="I26" s="17">
        <v>4176</v>
      </c>
      <c r="J26" s="18">
        <f>(H26/I26)-1</f>
        <v>-1</v>
      </c>
      <c r="K26" s="16"/>
    </row>
    <row r="27" spans="1:11" ht="17.45" customHeight="1" x14ac:dyDescent="0.25">
      <c r="A27" s="15"/>
      <c r="B27" s="15"/>
      <c r="C27" s="15"/>
      <c r="D27" s="15"/>
      <c r="E27" s="15"/>
      <c r="F27" s="15" t="s">
        <v>41</v>
      </c>
      <c r="G27" s="15"/>
      <c r="H27" s="17">
        <v>27590.400000000001</v>
      </c>
      <c r="I27" s="17">
        <v>22980</v>
      </c>
      <c r="J27" s="18">
        <f>(H27/I27)-1</f>
        <v>0.20062663185378593</v>
      </c>
      <c r="K27" s="19" t="s">
        <v>42</v>
      </c>
    </row>
    <row r="28" spans="1:11" ht="17.45" customHeight="1" x14ac:dyDescent="0.25">
      <c r="A28" s="15"/>
      <c r="B28" s="15"/>
      <c r="C28" s="15"/>
      <c r="D28" s="15"/>
      <c r="E28" s="15"/>
      <c r="F28" s="15" t="s">
        <v>43</v>
      </c>
      <c r="G28" s="15"/>
      <c r="H28" s="17">
        <v>1600</v>
      </c>
      <c r="I28" s="17">
        <v>1500</v>
      </c>
      <c r="J28" s="18">
        <f>(H28/I28)-1</f>
        <v>6.6666666666666652E-2</v>
      </c>
      <c r="K28" s="19" t="s">
        <v>44</v>
      </c>
    </row>
    <row r="29" spans="1:11" ht="18" customHeight="1" x14ac:dyDescent="0.25">
      <c r="A29" s="15"/>
      <c r="B29" s="15"/>
      <c r="C29" s="15"/>
      <c r="D29" s="15"/>
      <c r="E29" s="15"/>
      <c r="F29" s="15" t="s">
        <v>45</v>
      </c>
      <c r="G29" s="15"/>
      <c r="H29" s="22">
        <v>2000</v>
      </c>
      <c r="I29" s="22">
        <v>4000</v>
      </c>
      <c r="J29" s="23">
        <f>(H29/I29)-1</f>
        <v>-0.5</v>
      </c>
      <c r="K29" s="19" t="s">
        <v>46</v>
      </c>
    </row>
    <row r="30" spans="1:11" ht="18" customHeight="1" x14ac:dyDescent="0.25">
      <c r="A30" s="15"/>
      <c r="B30" s="15"/>
      <c r="C30" s="15"/>
      <c r="D30" s="15"/>
      <c r="E30" s="15" t="s">
        <v>47</v>
      </c>
      <c r="F30" s="15"/>
      <c r="G30" s="15"/>
      <c r="H30" s="28">
        <f>SUM(H26:H29)</f>
        <v>31190.400000000001</v>
      </c>
      <c r="I30" s="28">
        <f>SUM(I26:I29)</f>
        <v>32656</v>
      </c>
      <c r="J30" s="29">
        <f>(H30/I30)-1</f>
        <v>-4.487996080352763E-2</v>
      </c>
      <c r="K30" s="16"/>
    </row>
    <row r="31" spans="1:11" ht="17.45" customHeight="1" x14ac:dyDescent="0.25">
      <c r="A31" s="15"/>
      <c r="B31" s="15"/>
      <c r="C31" s="15"/>
      <c r="D31" s="15"/>
      <c r="E31" s="15" t="s">
        <v>48</v>
      </c>
      <c r="F31" s="15"/>
      <c r="G31" s="15"/>
      <c r="H31" s="17"/>
      <c r="I31" s="17"/>
      <c r="J31" s="30"/>
      <c r="K31" s="16"/>
    </row>
    <row r="32" spans="1:11" ht="17.45" customHeight="1" x14ac:dyDescent="0.25">
      <c r="A32" s="15"/>
      <c r="B32" s="15"/>
      <c r="C32" s="15"/>
      <c r="D32" s="15"/>
      <c r="E32" s="15"/>
      <c r="F32" s="15" t="s">
        <v>49</v>
      </c>
      <c r="G32" s="15"/>
      <c r="H32" s="17">
        <v>150</v>
      </c>
      <c r="I32" s="17">
        <v>150</v>
      </c>
      <c r="J32" s="18">
        <f>(H32/I32)-1</f>
        <v>0</v>
      </c>
      <c r="K32" s="19" t="s">
        <v>50</v>
      </c>
    </row>
    <row r="33" spans="1:11" ht="17.45" customHeight="1" x14ac:dyDescent="0.25">
      <c r="A33" s="15"/>
      <c r="B33" s="15"/>
      <c r="C33" s="15"/>
      <c r="D33" s="15"/>
      <c r="E33" s="15"/>
      <c r="F33" s="15" t="s">
        <v>51</v>
      </c>
      <c r="G33" s="15"/>
      <c r="H33" s="17">
        <f>90*12</f>
        <v>1080</v>
      </c>
      <c r="I33" s="17">
        <v>840</v>
      </c>
      <c r="J33" s="18">
        <f>(H33/I33)-1</f>
        <v>0.28571428571428581</v>
      </c>
      <c r="K33" s="19" t="s">
        <v>52</v>
      </c>
    </row>
    <row r="34" spans="1:11" ht="17.45" customHeight="1" x14ac:dyDescent="0.25">
      <c r="A34" s="15"/>
      <c r="B34" s="15"/>
      <c r="C34" s="15"/>
      <c r="D34" s="15"/>
      <c r="E34" s="15"/>
      <c r="F34" s="15" t="s">
        <v>53</v>
      </c>
      <c r="G34" s="15"/>
      <c r="H34" s="17">
        <v>250</v>
      </c>
      <c r="I34" s="17">
        <v>0</v>
      </c>
      <c r="J34" s="18"/>
      <c r="K34" s="19" t="s">
        <v>54</v>
      </c>
    </row>
    <row r="35" spans="1:11" ht="17.45" customHeight="1" x14ac:dyDescent="0.25">
      <c r="A35" s="15"/>
      <c r="B35" s="15"/>
      <c r="C35" s="15"/>
      <c r="D35" s="15"/>
      <c r="E35" s="15"/>
      <c r="F35" s="15" t="s">
        <v>55</v>
      </c>
      <c r="G35" s="15"/>
      <c r="H35" s="17">
        <v>1500</v>
      </c>
      <c r="I35" s="17">
        <v>100</v>
      </c>
      <c r="J35" s="18">
        <f>(H35/I35)-1</f>
        <v>14</v>
      </c>
      <c r="K35" s="19" t="s">
        <v>56</v>
      </c>
    </row>
    <row r="36" spans="1:11" ht="18" customHeight="1" x14ac:dyDescent="0.25">
      <c r="A36" s="15"/>
      <c r="B36" s="15"/>
      <c r="C36" s="15"/>
      <c r="D36" s="15"/>
      <c r="E36" s="15"/>
      <c r="F36" s="15" t="s">
        <v>57</v>
      </c>
      <c r="G36" s="15"/>
      <c r="H36" s="22">
        <v>2500</v>
      </c>
      <c r="I36" s="22">
        <v>2000</v>
      </c>
      <c r="J36" s="23">
        <f>(H36/I36)-1</f>
        <v>0.25</v>
      </c>
      <c r="K36" s="19" t="s">
        <v>58</v>
      </c>
    </row>
    <row r="37" spans="1:11" ht="18.399999999999999" customHeight="1" x14ac:dyDescent="0.25">
      <c r="A37" s="15"/>
      <c r="B37" s="15"/>
      <c r="C37" s="15"/>
      <c r="D37" s="15"/>
      <c r="E37" s="15" t="s">
        <v>59</v>
      </c>
      <c r="F37" s="15"/>
      <c r="G37" s="15"/>
      <c r="H37" s="25">
        <f>SUM(H32:H36)</f>
        <v>5480</v>
      </c>
      <c r="I37" s="25">
        <f>SUM(I32:I36)</f>
        <v>3090</v>
      </c>
      <c r="J37" s="26">
        <f>(H37/I37)-1</f>
        <v>0.77346278317152106</v>
      </c>
      <c r="K37" s="16"/>
    </row>
    <row r="38" spans="1:11" ht="18" customHeight="1" x14ac:dyDescent="0.25">
      <c r="A38" s="15"/>
      <c r="B38" s="15"/>
      <c r="C38" s="15"/>
      <c r="D38" s="15" t="s">
        <v>60</v>
      </c>
      <c r="E38" s="15"/>
      <c r="F38" s="15"/>
      <c r="G38" s="15"/>
      <c r="H38" s="28">
        <f>SUM(H24,H30,H37)</f>
        <v>45780.4</v>
      </c>
      <c r="I38" s="28">
        <f>SUM(I24,I30,I37)</f>
        <v>42856</v>
      </c>
      <c r="J38" s="29">
        <f>(H38/I38)-1</f>
        <v>6.823781967519138E-2</v>
      </c>
      <c r="K38" s="16"/>
    </row>
    <row r="39" spans="1:11" ht="17.45" customHeight="1" x14ac:dyDescent="0.25">
      <c r="A39" s="15"/>
      <c r="B39" s="15"/>
      <c r="C39" s="15"/>
      <c r="D39" s="15" t="s">
        <v>61</v>
      </c>
      <c r="E39" s="15"/>
      <c r="F39" s="15"/>
      <c r="G39" s="15"/>
      <c r="H39" s="17"/>
      <c r="I39" s="17"/>
      <c r="J39" s="18"/>
      <c r="K39" s="16"/>
    </row>
    <row r="40" spans="1:11" ht="17.45" customHeight="1" x14ac:dyDescent="0.25">
      <c r="A40" s="15"/>
      <c r="B40" s="15"/>
      <c r="C40" s="15"/>
      <c r="D40" s="15" t="s">
        <v>62</v>
      </c>
      <c r="E40" s="15"/>
      <c r="F40" s="15"/>
      <c r="G40" s="15"/>
      <c r="H40" s="17"/>
      <c r="I40" s="17"/>
      <c r="J40" s="18"/>
      <c r="K40" s="16"/>
    </row>
    <row r="41" spans="1:11" ht="17.45" customHeight="1" x14ac:dyDescent="0.25">
      <c r="A41" s="15"/>
      <c r="B41" s="15"/>
      <c r="C41" s="15"/>
      <c r="D41" s="15"/>
      <c r="E41" s="15" t="s">
        <v>63</v>
      </c>
      <c r="F41" s="15"/>
      <c r="G41" s="15"/>
      <c r="H41" s="17">
        <f>0.28*H9</f>
        <v>154000.00000000003</v>
      </c>
      <c r="I41" s="17">
        <v>138000</v>
      </c>
      <c r="J41" s="18">
        <f>(H41/I41)-1</f>
        <v>0.11594202898550754</v>
      </c>
      <c r="K41" s="16"/>
    </row>
    <row r="42" spans="1:11" ht="17.45" customHeight="1" x14ac:dyDescent="0.25">
      <c r="A42" s="15"/>
      <c r="B42" s="15"/>
      <c r="C42" s="15"/>
      <c r="D42" s="15"/>
      <c r="E42" s="15" t="s">
        <v>64</v>
      </c>
      <c r="F42" s="15"/>
      <c r="G42" s="15"/>
      <c r="H42" s="17">
        <f>0.21*H9</f>
        <v>115500</v>
      </c>
      <c r="I42" s="17">
        <v>101200</v>
      </c>
      <c r="J42" s="18">
        <f>(H42/I42)-1</f>
        <v>0.14130434782608692</v>
      </c>
      <c r="K42" s="16"/>
    </row>
    <row r="43" spans="1:11" ht="18" customHeight="1" x14ac:dyDescent="0.25">
      <c r="A43" s="15"/>
      <c r="B43" s="15"/>
      <c r="C43" s="15"/>
      <c r="D43" s="15"/>
      <c r="E43" s="15" t="s">
        <v>65</v>
      </c>
      <c r="F43" s="15"/>
      <c r="G43" s="15"/>
      <c r="H43" s="22">
        <f>0.135*H42</f>
        <v>15592.500000000002</v>
      </c>
      <c r="I43" s="22">
        <v>13800</v>
      </c>
      <c r="J43" s="23">
        <f>(H43/I43)-1</f>
        <v>0.12989130434782625</v>
      </c>
      <c r="K43" s="16"/>
    </row>
    <row r="44" spans="1:11" ht="18" customHeight="1" x14ac:dyDescent="0.25">
      <c r="A44" s="15"/>
      <c r="B44" s="15"/>
      <c r="C44" s="15"/>
      <c r="D44" s="15" t="s">
        <v>66</v>
      </c>
      <c r="E44" s="15"/>
      <c r="F44" s="15"/>
      <c r="G44" s="15"/>
      <c r="H44" s="28">
        <f>SUM(H41:H43)</f>
        <v>285092.5</v>
      </c>
      <c r="I44" s="28">
        <f>SUM(I41:I43)</f>
        <v>253000</v>
      </c>
      <c r="J44" s="29">
        <f>(H44/I44)-1</f>
        <v>0.12684782608695655</v>
      </c>
      <c r="K44" s="16"/>
    </row>
    <row r="45" spans="1:11" ht="17.45" customHeight="1" x14ac:dyDescent="0.25">
      <c r="A45" s="15"/>
      <c r="B45" s="15"/>
      <c r="C45" s="15"/>
      <c r="D45" s="15" t="s">
        <v>67</v>
      </c>
      <c r="E45" s="15"/>
      <c r="F45" s="15"/>
      <c r="G45" s="15"/>
      <c r="H45" s="17"/>
      <c r="I45" s="17"/>
      <c r="J45" s="18"/>
      <c r="K45" s="16"/>
    </row>
    <row r="46" spans="1:11" ht="17.45" customHeight="1" x14ac:dyDescent="0.25">
      <c r="A46" s="15"/>
      <c r="B46" s="15"/>
      <c r="C46" s="15"/>
      <c r="D46" s="15"/>
      <c r="E46" s="15" t="s">
        <v>68</v>
      </c>
      <c r="F46" s="15"/>
      <c r="G46" s="15"/>
      <c r="H46" s="17"/>
      <c r="I46" s="17"/>
      <c r="J46" s="18"/>
      <c r="K46" s="16"/>
    </row>
    <row r="47" spans="1:11" ht="17.45" customHeight="1" x14ac:dyDescent="0.25">
      <c r="A47" s="15"/>
      <c r="B47" s="15"/>
      <c r="C47" s="15"/>
      <c r="D47" s="15"/>
      <c r="E47" s="15"/>
      <c r="F47" s="15" t="s">
        <v>69</v>
      </c>
      <c r="G47" s="15"/>
      <c r="H47" s="17">
        <v>4000</v>
      </c>
      <c r="I47" s="17">
        <v>4000</v>
      </c>
      <c r="J47" s="18">
        <f>(H47/I47)-1</f>
        <v>0</v>
      </c>
      <c r="K47" s="19" t="s">
        <v>70</v>
      </c>
    </row>
    <row r="48" spans="1:11" ht="17.45" customHeight="1" x14ac:dyDescent="0.25">
      <c r="A48" s="15"/>
      <c r="B48" s="15"/>
      <c r="C48" s="15"/>
      <c r="D48" s="15"/>
      <c r="E48" s="15"/>
      <c r="F48" s="15" t="s">
        <v>71</v>
      </c>
      <c r="G48" s="15"/>
      <c r="H48" s="17">
        <v>16000</v>
      </c>
      <c r="I48" s="17">
        <v>13000</v>
      </c>
      <c r="J48" s="18">
        <f>(H48/I48)-1</f>
        <v>0.23076923076923084</v>
      </c>
      <c r="K48" s="16"/>
    </row>
    <row r="49" spans="1:11" ht="18" customHeight="1" x14ac:dyDescent="0.25">
      <c r="A49" s="15"/>
      <c r="B49" s="15"/>
      <c r="C49" s="15"/>
      <c r="D49" s="15"/>
      <c r="E49" s="15"/>
      <c r="F49" s="15" t="s">
        <v>72</v>
      </c>
      <c r="G49" s="15"/>
      <c r="H49" s="22">
        <v>300</v>
      </c>
      <c r="I49" s="22">
        <v>300</v>
      </c>
      <c r="J49" s="23">
        <f>(H49/I49)-1</f>
        <v>0</v>
      </c>
      <c r="K49" s="16"/>
    </row>
    <row r="50" spans="1:11" ht="18" customHeight="1" x14ac:dyDescent="0.25">
      <c r="A50" s="15"/>
      <c r="B50" s="15"/>
      <c r="C50" s="15"/>
      <c r="D50" s="15"/>
      <c r="E50" s="15" t="s">
        <v>73</v>
      </c>
      <c r="F50" s="15"/>
      <c r="G50" s="15"/>
      <c r="H50" s="28">
        <f>SUM(H47:H49)</f>
        <v>20300</v>
      </c>
      <c r="I50" s="28">
        <f>SUM(I47:I49)</f>
        <v>17300</v>
      </c>
      <c r="J50" s="29">
        <f>(H50/I50)-1</f>
        <v>0.17341040462427748</v>
      </c>
      <c r="K50" s="16"/>
    </row>
    <row r="51" spans="1:11" ht="17.45" customHeight="1" x14ac:dyDescent="0.25">
      <c r="A51" s="15"/>
      <c r="B51" s="15"/>
      <c r="C51" s="15"/>
      <c r="D51" s="15"/>
      <c r="E51" s="15" t="s">
        <v>74</v>
      </c>
      <c r="F51" s="15"/>
      <c r="G51" s="15"/>
      <c r="H51" s="17"/>
      <c r="I51" s="17"/>
      <c r="J51" s="18"/>
      <c r="K51" s="16"/>
    </row>
    <row r="52" spans="1:11" ht="17.45" customHeight="1" x14ac:dyDescent="0.25">
      <c r="A52" s="15"/>
      <c r="B52" s="15"/>
      <c r="C52" s="15"/>
      <c r="D52" s="15"/>
      <c r="E52" s="15"/>
      <c r="F52" s="15" t="s">
        <v>75</v>
      </c>
      <c r="G52" s="15"/>
      <c r="H52" s="17"/>
      <c r="I52" s="17"/>
      <c r="J52" s="18"/>
      <c r="K52" s="16"/>
    </row>
    <row r="53" spans="1:11" ht="17.45" customHeight="1" x14ac:dyDescent="0.25">
      <c r="A53" s="15"/>
      <c r="B53" s="15"/>
      <c r="C53" s="15"/>
      <c r="D53" s="15"/>
      <c r="E53" s="15"/>
      <c r="F53" s="15"/>
      <c r="G53" s="15" t="s">
        <v>76</v>
      </c>
      <c r="H53" s="17">
        <v>900</v>
      </c>
      <c r="I53" s="17">
        <v>900</v>
      </c>
      <c r="J53" s="18">
        <f t="shared" ref="J53:J58" si="2">(H53/I53)-1</f>
        <v>0</v>
      </c>
      <c r="K53" s="16"/>
    </row>
    <row r="54" spans="1:11" ht="17.45" customHeight="1" x14ac:dyDescent="0.25">
      <c r="A54" s="15"/>
      <c r="B54" s="15"/>
      <c r="C54" s="15"/>
      <c r="D54" s="15"/>
      <c r="E54" s="15"/>
      <c r="F54" s="15"/>
      <c r="G54" s="15" t="s">
        <v>77</v>
      </c>
      <c r="H54" s="17">
        <f>5044.64*4</f>
        <v>20178.560000000001</v>
      </c>
      <c r="I54" s="17">
        <v>15934.44</v>
      </c>
      <c r="J54" s="18">
        <f t="shared" si="2"/>
        <v>0.26634886447217476</v>
      </c>
      <c r="K54" s="16"/>
    </row>
    <row r="55" spans="1:11" ht="17.45" customHeight="1" x14ac:dyDescent="0.25">
      <c r="A55" s="15"/>
      <c r="B55" s="15"/>
      <c r="C55" s="15"/>
      <c r="D55" s="15"/>
      <c r="E55" s="15"/>
      <c r="F55" s="15"/>
      <c r="G55" s="15" t="s">
        <v>78</v>
      </c>
      <c r="H55" s="17">
        <f>0.07*H56</f>
        <v>5921.5800000000008</v>
      </c>
      <c r="I55" s="17">
        <v>4976.76</v>
      </c>
      <c r="J55" s="18">
        <f t="shared" si="2"/>
        <v>0.18984640609553205</v>
      </c>
      <c r="K55" s="16"/>
    </row>
    <row r="56" spans="1:11" ht="17.45" customHeight="1" x14ac:dyDescent="0.25">
      <c r="A56" s="15"/>
      <c r="B56" s="15"/>
      <c r="C56" s="15"/>
      <c r="D56" s="15"/>
      <c r="E56" s="15"/>
      <c r="F56" s="15"/>
      <c r="G56" s="15" t="s">
        <v>79</v>
      </c>
      <c r="H56" s="17">
        <v>84594</v>
      </c>
      <c r="I56" s="17">
        <v>80557.440000000002</v>
      </c>
      <c r="J56" s="18">
        <f t="shared" si="2"/>
        <v>5.0107848511571351E-2</v>
      </c>
      <c r="K56" s="16"/>
    </row>
    <row r="57" spans="1:11" ht="18" customHeight="1" x14ac:dyDescent="0.25">
      <c r="A57" s="15"/>
      <c r="B57" s="15"/>
      <c r="C57" s="15"/>
      <c r="D57" s="15"/>
      <c r="E57" s="15"/>
      <c r="F57" s="15"/>
      <c r="G57" s="15" t="s">
        <v>80</v>
      </c>
      <c r="H57" s="22">
        <v>500</v>
      </c>
      <c r="I57" s="22">
        <v>500.04</v>
      </c>
      <c r="J57" s="23">
        <f t="shared" si="2"/>
        <v>-7.9993600512029417E-5</v>
      </c>
      <c r="K57" s="16"/>
    </row>
    <row r="58" spans="1:11" ht="18" customHeight="1" x14ac:dyDescent="0.25">
      <c r="A58" s="15"/>
      <c r="B58" s="15"/>
      <c r="C58" s="15"/>
      <c r="D58" s="15"/>
      <c r="E58" s="15"/>
      <c r="F58" s="15" t="s">
        <v>81</v>
      </c>
      <c r="G58" s="15"/>
      <c r="H58" s="28">
        <f>SUM(H53:H57)</f>
        <v>112094.14</v>
      </c>
      <c r="I58" s="28">
        <f>SUM(I53:I57)</f>
        <v>102868.68000000001</v>
      </c>
      <c r="J58" s="29">
        <f t="shared" si="2"/>
        <v>8.9681912900991811E-2</v>
      </c>
      <c r="K58" s="16"/>
    </row>
    <row r="59" spans="1:11" ht="17.45" customHeight="1" x14ac:dyDescent="0.25">
      <c r="A59" s="15"/>
      <c r="B59" s="15"/>
      <c r="C59" s="15"/>
      <c r="D59" s="15"/>
      <c r="E59" s="15"/>
      <c r="F59" s="15" t="s">
        <v>82</v>
      </c>
      <c r="G59" s="15"/>
      <c r="H59" s="17"/>
      <c r="I59" s="17"/>
      <c r="J59" s="18"/>
      <c r="K59" s="16"/>
    </row>
    <row r="60" spans="1:11" ht="17.45" customHeight="1" x14ac:dyDescent="0.25">
      <c r="A60" s="15"/>
      <c r="B60" s="15"/>
      <c r="C60" s="15"/>
      <c r="D60" s="15"/>
      <c r="E60" s="15"/>
      <c r="F60" s="15"/>
      <c r="G60" s="15" t="s">
        <v>83</v>
      </c>
      <c r="H60" s="17">
        <f>75*12</f>
        <v>900</v>
      </c>
      <c r="I60" s="17">
        <v>900</v>
      </c>
      <c r="J60" s="18">
        <f>(H60/I60)-1</f>
        <v>0</v>
      </c>
      <c r="K60" s="16"/>
    </row>
    <row r="61" spans="1:11" ht="17.45" customHeight="1" x14ac:dyDescent="0.25">
      <c r="A61" s="15"/>
      <c r="B61" s="15"/>
      <c r="C61" s="15"/>
      <c r="D61" s="15"/>
      <c r="E61" s="15"/>
      <c r="F61" s="15"/>
      <c r="G61" s="15" t="s">
        <v>84</v>
      </c>
      <c r="H61" s="17">
        <v>900</v>
      </c>
      <c r="I61" s="17">
        <v>0</v>
      </c>
      <c r="J61" s="18"/>
      <c r="K61" s="16"/>
    </row>
    <row r="62" spans="1:11" ht="17.45" customHeight="1" x14ac:dyDescent="0.25">
      <c r="A62" s="15"/>
      <c r="B62" s="15"/>
      <c r="C62" s="15"/>
      <c r="D62" s="15"/>
      <c r="E62" s="15"/>
      <c r="F62" s="15"/>
      <c r="G62" s="15" t="s">
        <v>85</v>
      </c>
      <c r="H62" s="17">
        <f>3575.06*4</f>
        <v>14300.24</v>
      </c>
      <c r="I62" s="17">
        <v>11880</v>
      </c>
      <c r="J62" s="18">
        <f>(H62/I62)-1</f>
        <v>0.20372390572390575</v>
      </c>
      <c r="K62" s="16"/>
    </row>
    <row r="63" spans="1:11" ht="17.45" customHeight="1" x14ac:dyDescent="0.25">
      <c r="A63" s="15"/>
      <c r="B63" s="15"/>
      <c r="C63" s="15"/>
      <c r="D63" s="15"/>
      <c r="E63" s="15"/>
      <c r="F63" s="15"/>
      <c r="G63" s="15" t="s">
        <v>86</v>
      </c>
      <c r="H63" s="17">
        <v>900</v>
      </c>
      <c r="I63" s="17">
        <v>0</v>
      </c>
      <c r="J63" s="18"/>
      <c r="K63" s="16"/>
    </row>
    <row r="64" spans="1:11" ht="17.45" customHeight="1" x14ac:dyDescent="0.25">
      <c r="A64" s="15"/>
      <c r="B64" s="15"/>
      <c r="C64" s="15"/>
      <c r="D64" s="15"/>
      <c r="E64" s="15"/>
      <c r="F64" s="15"/>
      <c r="G64" s="15" t="s">
        <v>87</v>
      </c>
      <c r="H64" s="17">
        <f>0.07*H65</f>
        <v>5761.4900000000007</v>
      </c>
      <c r="I64" s="17">
        <v>5594</v>
      </c>
      <c r="J64" s="18">
        <f>(H64/I64)-1</f>
        <v>2.9941008223096199E-2</v>
      </c>
      <c r="K64" s="16"/>
    </row>
    <row r="65" spans="1:11" ht="17.45" customHeight="1" x14ac:dyDescent="0.25">
      <c r="A65" s="15"/>
      <c r="B65" s="15"/>
      <c r="C65" s="15"/>
      <c r="D65" s="15"/>
      <c r="E65" s="15"/>
      <c r="F65" s="15"/>
      <c r="G65" s="15" t="s">
        <v>88</v>
      </c>
      <c r="H65" s="17">
        <v>82307</v>
      </c>
      <c r="I65" s="17">
        <v>79908.960000000006</v>
      </c>
      <c r="J65" s="18">
        <f>(H65/I65)-1</f>
        <v>3.000965098281827E-2</v>
      </c>
      <c r="K65" s="16"/>
    </row>
    <row r="66" spans="1:11" ht="18" customHeight="1" x14ac:dyDescent="0.25">
      <c r="A66" s="15"/>
      <c r="B66" s="15"/>
      <c r="C66" s="15"/>
      <c r="D66" s="15"/>
      <c r="E66" s="15"/>
      <c r="F66" s="15"/>
      <c r="G66" s="15" t="s">
        <v>89</v>
      </c>
      <c r="H66" s="22">
        <v>500</v>
      </c>
      <c r="I66" s="22">
        <v>500</v>
      </c>
      <c r="J66" s="23">
        <f>(H66/I66)-1</f>
        <v>0</v>
      </c>
      <c r="K66" s="16"/>
    </row>
    <row r="67" spans="1:11" ht="18.399999999999999" customHeight="1" x14ac:dyDescent="0.25">
      <c r="A67" s="15"/>
      <c r="B67" s="15"/>
      <c r="C67" s="15"/>
      <c r="D67" s="15"/>
      <c r="E67" s="15"/>
      <c r="F67" s="15" t="s">
        <v>90</v>
      </c>
      <c r="G67" s="15"/>
      <c r="H67" s="25">
        <f>SUM(H60:H66)</f>
        <v>105568.73</v>
      </c>
      <c r="I67" s="25">
        <f>SUM(I60:I66)</f>
        <v>98782.96</v>
      </c>
      <c r="J67" s="26">
        <f>(H67/I67)-1</f>
        <v>6.8693730173706058E-2</v>
      </c>
      <c r="K67" s="16"/>
    </row>
    <row r="68" spans="1:11" ht="18" customHeight="1" x14ac:dyDescent="0.25">
      <c r="A68" s="15"/>
      <c r="B68" s="15"/>
      <c r="C68" s="15"/>
      <c r="D68" s="15" t="s">
        <v>91</v>
      </c>
      <c r="E68" s="15"/>
      <c r="F68" s="15"/>
      <c r="G68" s="15"/>
      <c r="H68" s="28">
        <f>SUM(H67,H58,H50)</f>
        <v>237962.87</v>
      </c>
      <c r="I68" s="28">
        <f>SUM(I67,I58,I50)</f>
        <v>218951.64</v>
      </c>
      <c r="J68" s="29">
        <f>(H68/I68)-1</f>
        <v>8.6828443029702829E-2</v>
      </c>
      <c r="K68" s="16"/>
    </row>
    <row r="69" spans="1:11" ht="17.45" customHeight="1" x14ac:dyDescent="0.25">
      <c r="A69" s="15"/>
      <c r="B69" s="15"/>
      <c r="C69" s="15"/>
      <c r="D69" s="15" t="s">
        <v>92</v>
      </c>
      <c r="E69" s="15"/>
      <c r="F69" s="15"/>
      <c r="G69" s="15"/>
      <c r="H69" s="17"/>
      <c r="I69" s="17"/>
      <c r="J69" s="18"/>
      <c r="K69" s="16"/>
    </row>
    <row r="70" spans="1:11" ht="17.45" customHeight="1" x14ac:dyDescent="0.25">
      <c r="A70" s="15"/>
      <c r="B70" s="15"/>
      <c r="C70" s="15"/>
      <c r="D70" s="15"/>
      <c r="E70" s="15" t="s">
        <v>93</v>
      </c>
      <c r="F70" s="15"/>
      <c r="G70" s="15"/>
      <c r="H70" s="17"/>
      <c r="I70" s="17"/>
      <c r="J70" s="18"/>
      <c r="K70" s="16"/>
    </row>
    <row r="71" spans="1:11" ht="17.45" customHeight="1" x14ac:dyDescent="0.25">
      <c r="A71" s="15"/>
      <c r="B71" s="15"/>
      <c r="C71" s="15"/>
      <c r="D71" s="15"/>
      <c r="E71" s="15"/>
      <c r="F71" s="15" t="s">
        <v>94</v>
      </c>
      <c r="G71" s="15"/>
      <c r="H71" s="17">
        <v>6000</v>
      </c>
      <c r="I71" s="17">
        <v>0</v>
      </c>
      <c r="J71" s="18"/>
      <c r="K71" s="19" t="s">
        <v>95</v>
      </c>
    </row>
    <row r="72" spans="1:11" ht="17.45" customHeight="1" x14ac:dyDescent="0.25">
      <c r="A72" s="15"/>
      <c r="B72" s="15"/>
      <c r="C72" s="15"/>
      <c r="D72" s="15"/>
      <c r="E72" s="15"/>
      <c r="F72" s="15" t="s">
        <v>96</v>
      </c>
      <c r="G72" s="15"/>
      <c r="H72" s="17">
        <v>0</v>
      </c>
      <c r="I72" s="17">
        <v>0</v>
      </c>
      <c r="J72" s="18"/>
      <c r="K72" s="16"/>
    </row>
    <row r="73" spans="1:11" ht="17.45" customHeight="1" x14ac:dyDescent="0.25">
      <c r="A73" s="15"/>
      <c r="B73" s="15"/>
      <c r="C73" s="15"/>
      <c r="D73" s="15"/>
      <c r="E73" s="15"/>
      <c r="F73" s="15" t="s">
        <v>97</v>
      </c>
      <c r="G73" s="15"/>
      <c r="H73" s="17">
        <v>349.92</v>
      </c>
      <c r="I73" s="17">
        <v>0</v>
      </c>
      <c r="J73" s="18"/>
      <c r="K73" s="16"/>
    </row>
    <row r="74" spans="1:11" ht="18" customHeight="1" x14ac:dyDescent="0.25">
      <c r="A74" s="15"/>
      <c r="B74" s="15"/>
      <c r="C74" s="15"/>
      <c r="D74" s="15"/>
      <c r="E74" s="15"/>
      <c r="F74" s="15" t="s">
        <v>98</v>
      </c>
      <c r="G74" s="15"/>
      <c r="H74" s="22">
        <v>2500</v>
      </c>
      <c r="I74" s="22">
        <v>0</v>
      </c>
      <c r="J74" s="23"/>
      <c r="K74" s="16"/>
    </row>
    <row r="75" spans="1:11" ht="18" customHeight="1" x14ac:dyDescent="0.25">
      <c r="A75" s="15"/>
      <c r="B75" s="15"/>
      <c r="C75" s="15"/>
      <c r="D75" s="15"/>
      <c r="E75" s="15" t="s">
        <v>99</v>
      </c>
      <c r="F75" s="15"/>
      <c r="G75" s="15"/>
      <c r="H75" s="28">
        <f>SUM(H71:H74)</f>
        <v>8849.92</v>
      </c>
      <c r="I75" s="28">
        <f>SUM(I71:I74)</f>
        <v>0</v>
      </c>
      <c r="J75" s="29"/>
      <c r="K75" s="16"/>
    </row>
    <row r="76" spans="1:11" ht="17.45" customHeight="1" x14ac:dyDescent="0.25">
      <c r="A76" s="15"/>
      <c r="B76" s="15"/>
      <c r="C76" s="15"/>
      <c r="D76" s="15"/>
      <c r="E76" s="15" t="s">
        <v>100</v>
      </c>
      <c r="F76" s="15"/>
      <c r="G76" s="15"/>
      <c r="H76" s="17"/>
      <c r="I76" s="17"/>
      <c r="J76" s="18"/>
      <c r="K76" s="16"/>
    </row>
    <row r="77" spans="1:11" ht="17.45" customHeight="1" x14ac:dyDescent="0.25">
      <c r="A77" s="15"/>
      <c r="B77" s="15"/>
      <c r="C77" s="15"/>
      <c r="D77" s="15"/>
      <c r="E77" s="15"/>
      <c r="F77" s="15" t="s">
        <v>101</v>
      </c>
      <c r="G77" s="15"/>
      <c r="H77" s="17">
        <v>2000</v>
      </c>
      <c r="I77" s="17">
        <v>2000.04</v>
      </c>
      <c r="J77" s="18">
        <f>(H77/I77)-1</f>
        <v>-1.9999600007980511E-5</v>
      </c>
      <c r="K77" s="16"/>
    </row>
    <row r="78" spans="1:11" ht="17.45" customHeight="1" x14ac:dyDescent="0.25">
      <c r="A78" s="15"/>
      <c r="B78" s="15"/>
      <c r="C78" s="15"/>
      <c r="D78" s="15"/>
      <c r="E78" s="15"/>
      <c r="F78" s="15" t="s">
        <v>102</v>
      </c>
      <c r="G78" s="15"/>
      <c r="H78" s="17">
        <v>0</v>
      </c>
      <c r="I78" s="17">
        <v>0</v>
      </c>
      <c r="J78" s="18"/>
      <c r="K78" s="16"/>
    </row>
    <row r="79" spans="1:11" ht="17.45" customHeight="1" x14ac:dyDescent="0.25">
      <c r="A79" s="15"/>
      <c r="B79" s="15"/>
      <c r="C79" s="15"/>
      <c r="D79" s="15"/>
      <c r="E79" s="15"/>
      <c r="F79" s="15" t="s">
        <v>103</v>
      </c>
      <c r="G79" s="15"/>
      <c r="H79" s="17">
        <v>500</v>
      </c>
      <c r="I79" s="17">
        <v>500</v>
      </c>
      <c r="J79" s="18">
        <f t="shared" ref="J79:J98" si="3">(H79/I79)-1</f>
        <v>0</v>
      </c>
      <c r="K79" s="19" t="s">
        <v>104</v>
      </c>
    </row>
    <row r="80" spans="1:11" ht="17.45" customHeight="1" x14ac:dyDescent="0.25">
      <c r="A80" s="15"/>
      <c r="B80" s="15"/>
      <c r="C80" s="15"/>
      <c r="D80" s="15"/>
      <c r="E80" s="15"/>
      <c r="F80" s="15" t="s">
        <v>105</v>
      </c>
      <c r="G80" s="15"/>
      <c r="H80" s="17">
        <v>3300</v>
      </c>
      <c r="I80" s="17">
        <v>3600</v>
      </c>
      <c r="J80" s="18">
        <f t="shared" si="3"/>
        <v>-8.333333333333337E-2</v>
      </c>
      <c r="K80" s="19" t="s">
        <v>106</v>
      </c>
    </row>
    <row r="81" spans="1:11" ht="17.45" customHeight="1" x14ac:dyDescent="0.25">
      <c r="A81" s="15"/>
      <c r="B81" s="15"/>
      <c r="C81" s="15"/>
      <c r="D81" s="15"/>
      <c r="E81" s="15"/>
      <c r="F81" s="15" t="s">
        <v>107</v>
      </c>
      <c r="G81" s="15"/>
      <c r="H81" s="17">
        <f>4*3*50</f>
        <v>600</v>
      </c>
      <c r="I81" s="17">
        <v>750</v>
      </c>
      <c r="J81" s="18">
        <f t="shared" si="3"/>
        <v>-0.19999999999999996</v>
      </c>
      <c r="K81" s="19" t="s">
        <v>108</v>
      </c>
    </row>
    <row r="82" spans="1:11" ht="17.45" customHeight="1" x14ac:dyDescent="0.25">
      <c r="A82" s="15"/>
      <c r="B82" s="15"/>
      <c r="C82" s="15"/>
      <c r="D82" s="15"/>
      <c r="E82" s="15"/>
      <c r="F82" s="15" t="s">
        <v>109</v>
      </c>
      <c r="G82" s="15"/>
      <c r="H82" s="17">
        <v>500</v>
      </c>
      <c r="I82" s="17">
        <v>500.04</v>
      </c>
      <c r="J82" s="18">
        <f t="shared" si="3"/>
        <v>-7.9993600512029417E-5</v>
      </c>
      <c r="K82" s="19" t="s">
        <v>110</v>
      </c>
    </row>
    <row r="83" spans="1:11" ht="17.45" customHeight="1" x14ac:dyDescent="0.25">
      <c r="A83" s="15"/>
      <c r="B83" s="15"/>
      <c r="C83" s="15"/>
      <c r="D83" s="15"/>
      <c r="E83" s="15"/>
      <c r="F83" s="15" t="s">
        <v>111</v>
      </c>
      <c r="G83" s="15"/>
      <c r="H83" s="17">
        <f>1500*4</f>
        <v>6000</v>
      </c>
      <c r="I83" s="17">
        <v>5000.04</v>
      </c>
      <c r="J83" s="18">
        <f t="shared" si="3"/>
        <v>0.19999040007679936</v>
      </c>
      <c r="K83" s="19" t="s">
        <v>112</v>
      </c>
    </row>
    <row r="84" spans="1:11" ht="17.45" customHeight="1" x14ac:dyDescent="0.25">
      <c r="A84" s="15"/>
      <c r="B84" s="15"/>
      <c r="C84" s="15"/>
      <c r="D84" s="15"/>
      <c r="E84" s="15"/>
      <c r="F84" s="15" t="s">
        <v>113</v>
      </c>
      <c r="G84" s="15"/>
      <c r="H84" s="17">
        <v>3600</v>
      </c>
      <c r="I84" s="17">
        <v>3500.04</v>
      </c>
      <c r="J84" s="18">
        <f t="shared" si="3"/>
        <v>2.8559673603730351E-2</v>
      </c>
      <c r="K84" s="19" t="s">
        <v>114</v>
      </c>
    </row>
    <row r="85" spans="1:11" ht="17.45" customHeight="1" x14ac:dyDescent="0.25">
      <c r="A85" s="15"/>
      <c r="B85" s="15"/>
      <c r="C85" s="15"/>
      <c r="D85" s="15"/>
      <c r="E85" s="15"/>
      <c r="F85" s="15" t="s">
        <v>115</v>
      </c>
      <c r="G85" s="15"/>
      <c r="H85" s="17">
        <v>750</v>
      </c>
      <c r="I85" s="17">
        <v>750</v>
      </c>
      <c r="J85" s="18">
        <f t="shared" si="3"/>
        <v>0</v>
      </c>
      <c r="K85" s="19" t="s">
        <v>114</v>
      </c>
    </row>
    <row r="86" spans="1:11" ht="17.45" customHeight="1" x14ac:dyDescent="0.25">
      <c r="A86" s="15"/>
      <c r="B86" s="15"/>
      <c r="C86" s="15"/>
      <c r="D86" s="15"/>
      <c r="E86" s="15"/>
      <c r="F86" s="15" t="s">
        <v>116</v>
      </c>
      <c r="G86" s="15"/>
      <c r="H86" s="17">
        <v>4000</v>
      </c>
      <c r="I86" s="17">
        <v>1000</v>
      </c>
      <c r="J86" s="18">
        <f t="shared" si="3"/>
        <v>3</v>
      </c>
      <c r="K86" s="19" t="s">
        <v>114</v>
      </c>
    </row>
    <row r="87" spans="1:11" ht="17.45" customHeight="1" x14ac:dyDescent="0.25">
      <c r="A87" s="15"/>
      <c r="B87" s="15"/>
      <c r="C87" s="15"/>
      <c r="D87" s="15"/>
      <c r="E87" s="15"/>
      <c r="F87" s="15" t="s">
        <v>117</v>
      </c>
      <c r="G87" s="15"/>
      <c r="H87" s="17">
        <v>1000</v>
      </c>
      <c r="I87" s="17">
        <v>1000</v>
      </c>
      <c r="J87" s="18">
        <f t="shared" si="3"/>
        <v>0</v>
      </c>
      <c r="K87" s="19" t="s">
        <v>114</v>
      </c>
    </row>
    <row r="88" spans="1:11" ht="17.45" customHeight="1" x14ac:dyDescent="0.25">
      <c r="A88" s="15"/>
      <c r="B88" s="15"/>
      <c r="C88" s="15"/>
      <c r="D88" s="15"/>
      <c r="E88" s="15"/>
      <c r="F88" s="15" t="s">
        <v>118</v>
      </c>
      <c r="G88" s="15"/>
      <c r="H88" s="17">
        <v>2000</v>
      </c>
      <c r="I88" s="17">
        <v>2000</v>
      </c>
      <c r="J88" s="18">
        <f t="shared" si="3"/>
        <v>0</v>
      </c>
      <c r="K88" s="19" t="s">
        <v>114</v>
      </c>
    </row>
    <row r="89" spans="1:11" ht="17.45" customHeight="1" x14ac:dyDescent="0.25">
      <c r="A89" s="15"/>
      <c r="B89" s="15"/>
      <c r="C89" s="15"/>
      <c r="D89" s="15"/>
      <c r="E89" s="15"/>
      <c r="F89" s="15" t="s">
        <v>119</v>
      </c>
      <c r="G89" s="15"/>
      <c r="H89" s="17">
        <f>45*12</f>
        <v>540</v>
      </c>
      <c r="I89" s="17">
        <v>250</v>
      </c>
      <c r="J89" s="18">
        <f t="shared" si="3"/>
        <v>1.1600000000000001</v>
      </c>
      <c r="K89" s="19" t="s">
        <v>120</v>
      </c>
    </row>
    <row r="90" spans="1:11" ht="17.45" customHeight="1" x14ac:dyDescent="0.25">
      <c r="A90" s="15"/>
      <c r="B90" s="15"/>
      <c r="C90" s="15"/>
      <c r="D90" s="15"/>
      <c r="E90" s="15"/>
      <c r="F90" s="15" t="s">
        <v>121</v>
      </c>
      <c r="G90" s="15"/>
      <c r="H90" s="17">
        <v>2000</v>
      </c>
      <c r="I90" s="17">
        <v>999.96</v>
      </c>
      <c r="J90" s="18">
        <f t="shared" si="3"/>
        <v>1.0000800032001278</v>
      </c>
      <c r="K90" s="19" t="s">
        <v>122</v>
      </c>
    </row>
    <row r="91" spans="1:11" ht="17.45" customHeight="1" x14ac:dyDescent="0.25">
      <c r="A91" s="15"/>
      <c r="B91" s="15"/>
      <c r="C91" s="15"/>
      <c r="D91" s="15"/>
      <c r="E91" s="15"/>
      <c r="F91" s="15" t="s">
        <v>123</v>
      </c>
      <c r="G91" s="15"/>
      <c r="H91" s="17">
        <v>12000</v>
      </c>
      <c r="I91" s="17">
        <v>10000</v>
      </c>
      <c r="J91" s="18">
        <f t="shared" si="3"/>
        <v>0.19999999999999996</v>
      </c>
      <c r="K91" s="19" t="s">
        <v>124</v>
      </c>
    </row>
    <row r="92" spans="1:11" ht="17.45" customHeight="1" x14ac:dyDescent="0.25">
      <c r="A92" s="15"/>
      <c r="B92" s="15"/>
      <c r="C92" s="15"/>
      <c r="D92" s="15"/>
      <c r="E92" s="15"/>
      <c r="F92" s="15" t="s">
        <v>125</v>
      </c>
      <c r="G92" s="15"/>
      <c r="H92" s="17">
        <v>13000</v>
      </c>
      <c r="I92" s="17">
        <v>15000</v>
      </c>
      <c r="J92" s="18">
        <f t="shared" si="3"/>
        <v>-0.1333333333333333</v>
      </c>
      <c r="K92" s="19" t="s">
        <v>126</v>
      </c>
    </row>
    <row r="93" spans="1:11" ht="17.45" customHeight="1" x14ac:dyDescent="0.25">
      <c r="A93" s="15"/>
      <c r="B93" s="15"/>
      <c r="C93" s="15"/>
      <c r="D93" s="15"/>
      <c r="E93" s="15"/>
      <c r="F93" s="15" t="s">
        <v>127</v>
      </c>
      <c r="G93" s="15"/>
      <c r="H93" s="17">
        <v>3000</v>
      </c>
      <c r="I93" s="17">
        <v>2000.04</v>
      </c>
      <c r="J93" s="18">
        <f t="shared" si="3"/>
        <v>0.49997000059998808</v>
      </c>
      <c r="K93" s="19" t="s">
        <v>128</v>
      </c>
    </row>
    <row r="94" spans="1:11" ht="17.45" customHeight="1" x14ac:dyDescent="0.25">
      <c r="A94" s="15"/>
      <c r="B94" s="15"/>
      <c r="C94" s="15"/>
      <c r="D94" s="15"/>
      <c r="E94" s="15"/>
      <c r="F94" s="15" t="s">
        <v>129</v>
      </c>
      <c r="G94" s="15"/>
      <c r="H94" s="17">
        <v>100000</v>
      </c>
      <c r="I94" s="17">
        <v>40000</v>
      </c>
      <c r="J94" s="18">
        <f t="shared" si="3"/>
        <v>1.5</v>
      </c>
      <c r="K94" s="19" t="s">
        <v>130</v>
      </c>
    </row>
    <row r="95" spans="1:11" ht="17.45" customHeight="1" x14ac:dyDescent="0.25">
      <c r="A95" s="15"/>
      <c r="B95" s="15"/>
      <c r="C95" s="15"/>
      <c r="D95" s="15"/>
      <c r="E95" s="15"/>
      <c r="F95" s="15" t="s">
        <v>131</v>
      </c>
      <c r="G95" s="15"/>
      <c r="H95" s="17">
        <v>5000</v>
      </c>
      <c r="I95" s="17">
        <v>6000</v>
      </c>
      <c r="J95" s="18">
        <f t="shared" si="3"/>
        <v>-0.16666666666666663</v>
      </c>
      <c r="K95" s="19" t="s">
        <v>132</v>
      </c>
    </row>
    <row r="96" spans="1:11" ht="18" customHeight="1" x14ac:dyDescent="0.25">
      <c r="A96" s="15"/>
      <c r="B96" s="15"/>
      <c r="C96" s="15"/>
      <c r="D96" s="15"/>
      <c r="E96" s="15"/>
      <c r="F96" s="15" t="s">
        <v>133</v>
      </c>
      <c r="G96" s="15"/>
      <c r="H96" s="22">
        <v>4000</v>
      </c>
      <c r="I96" s="22">
        <v>3000</v>
      </c>
      <c r="J96" s="23">
        <f t="shared" si="3"/>
        <v>0.33333333333333326</v>
      </c>
      <c r="K96" s="16"/>
    </row>
    <row r="97" spans="1:11" ht="18.399999999999999" customHeight="1" x14ac:dyDescent="0.25">
      <c r="A97" s="15"/>
      <c r="B97" s="15"/>
      <c r="C97" s="15"/>
      <c r="D97" s="15"/>
      <c r="E97" s="15" t="s">
        <v>134</v>
      </c>
      <c r="F97" s="15"/>
      <c r="G97" s="15"/>
      <c r="H97" s="25">
        <f>SUM(H77:H96)</f>
        <v>163790</v>
      </c>
      <c r="I97" s="25">
        <f>SUM(I77:I96)</f>
        <v>97850.16</v>
      </c>
      <c r="J97" s="26">
        <f t="shared" si="3"/>
        <v>0.67388586794339411</v>
      </c>
      <c r="K97" s="16"/>
    </row>
    <row r="98" spans="1:11" ht="18" customHeight="1" x14ac:dyDescent="0.25">
      <c r="A98" s="15"/>
      <c r="B98" s="15"/>
      <c r="C98" s="15"/>
      <c r="D98" s="15" t="s">
        <v>135</v>
      </c>
      <c r="E98" s="15"/>
      <c r="F98" s="15"/>
      <c r="G98" s="15"/>
      <c r="H98" s="28">
        <f>SUM(H75,H97)</f>
        <v>172639.92</v>
      </c>
      <c r="I98" s="28">
        <f>SUM(I75,I97)</f>
        <v>97850.16</v>
      </c>
      <c r="J98" s="29">
        <f t="shared" si="3"/>
        <v>0.76432946047303352</v>
      </c>
      <c r="K98" s="16"/>
    </row>
    <row r="99" spans="1:11" ht="17.45" customHeight="1" x14ac:dyDescent="0.25">
      <c r="A99" s="15"/>
      <c r="B99" s="15"/>
      <c r="C99" s="15"/>
      <c r="D99" s="15" t="s">
        <v>136</v>
      </c>
      <c r="E99" s="15"/>
      <c r="F99" s="15"/>
      <c r="G99" s="15"/>
      <c r="H99" s="17"/>
      <c r="I99" s="17"/>
      <c r="J99" s="18"/>
      <c r="K99" s="16"/>
    </row>
    <row r="100" spans="1:11" ht="18" customHeight="1" x14ac:dyDescent="0.25">
      <c r="A100" s="15"/>
      <c r="B100" s="15"/>
      <c r="C100" s="15"/>
      <c r="D100" s="15"/>
      <c r="E100" s="15" t="s">
        <v>137</v>
      </c>
      <c r="F100" s="15"/>
      <c r="G100" s="15"/>
      <c r="H100" s="22">
        <v>2000</v>
      </c>
      <c r="I100" s="22">
        <v>2000</v>
      </c>
      <c r="J100" s="23">
        <f>(H100/I100)-1</f>
        <v>0</v>
      </c>
      <c r="K100" s="16"/>
    </row>
    <row r="101" spans="1:11" ht="18.399999999999999" customHeight="1" x14ac:dyDescent="0.25">
      <c r="A101" s="15"/>
      <c r="B101" s="15"/>
      <c r="C101" s="15"/>
      <c r="D101" s="15" t="s">
        <v>138</v>
      </c>
      <c r="E101" s="15"/>
      <c r="F101" s="15"/>
      <c r="G101" s="15"/>
      <c r="H101" s="25">
        <f>SUM(H100:H100)</f>
        <v>2000</v>
      </c>
      <c r="I101" s="25">
        <f>SUM(I100:I100)</f>
        <v>2000</v>
      </c>
      <c r="J101" s="26">
        <f>(H101/I101)-1</f>
        <v>0</v>
      </c>
      <c r="K101" s="16"/>
    </row>
    <row r="102" spans="1:11" ht="18.399999999999999" customHeight="1" x14ac:dyDescent="0.25">
      <c r="A102" s="15"/>
      <c r="B102" s="15"/>
      <c r="C102" s="15" t="s">
        <v>139</v>
      </c>
      <c r="D102" s="15"/>
      <c r="E102" s="15"/>
      <c r="F102" s="15"/>
      <c r="G102" s="15"/>
      <c r="H102" s="25">
        <f>SUM(H38,H44,H68,H98,H101)</f>
        <v>743475.69000000006</v>
      </c>
      <c r="I102" s="25">
        <f>SUM(I38,I44,I68,I98,I101)</f>
        <v>614657.80000000005</v>
      </c>
      <c r="J102" s="26">
        <f>(H102/I102)-1</f>
        <v>0.20957659692921826</v>
      </c>
      <c r="K102" s="16"/>
    </row>
    <row r="103" spans="1:11" ht="18" customHeight="1" x14ac:dyDescent="0.25">
      <c r="A103" s="15" t="s">
        <v>140</v>
      </c>
      <c r="B103" s="15"/>
      <c r="C103" s="15"/>
      <c r="D103" s="15"/>
      <c r="E103" s="15"/>
      <c r="F103" s="15"/>
      <c r="G103" s="15"/>
      <c r="H103" s="28">
        <f>SUM(H13)</f>
        <v>714797</v>
      </c>
      <c r="I103" s="28">
        <f>SUM(I13)</f>
        <v>618716</v>
      </c>
      <c r="J103" s="29">
        <f>(H103/I103)-1</f>
        <v>0.15529095740210375</v>
      </c>
      <c r="K103" s="16"/>
    </row>
    <row r="104" spans="1:11" ht="17.45" customHeight="1" x14ac:dyDescent="0.25">
      <c r="A104" s="15" t="s">
        <v>141</v>
      </c>
      <c r="B104" s="15"/>
      <c r="C104" s="15"/>
      <c r="D104" s="15"/>
      <c r="E104" s="15"/>
      <c r="F104" s="15"/>
      <c r="G104" s="15"/>
      <c r="H104" s="17"/>
      <c r="I104" s="17"/>
      <c r="J104" s="18"/>
      <c r="K104" s="16"/>
    </row>
    <row r="105" spans="1:11" ht="17.45" customHeight="1" x14ac:dyDescent="0.25">
      <c r="A105" s="15"/>
      <c r="B105" s="15" t="s">
        <v>142</v>
      </c>
      <c r="C105" s="15"/>
      <c r="D105" s="15"/>
      <c r="E105" s="15"/>
      <c r="F105" s="15"/>
      <c r="G105" s="15"/>
      <c r="H105" s="17"/>
      <c r="I105" s="17"/>
      <c r="J105" s="18"/>
      <c r="K105" s="16"/>
    </row>
    <row r="106" spans="1:11" ht="17.45" customHeight="1" x14ac:dyDescent="0.25">
      <c r="A106" s="15"/>
      <c r="B106" s="15"/>
      <c r="C106" s="15" t="s">
        <v>143</v>
      </c>
      <c r="D106" s="15"/>
      <c r="E106" s="15"/>
      <c r="F106" s="15"/>
      <c r="G106" s="15"/>
      <c r="H106" s="17"/>
      <c r="I106" s="17"/>
      <c r="J106" s="18"/>
      <c r="K106" s="16"/>
    </row>
    <row r="107" spans="1:11" ht="17.45" customHeight="1" x14ac:dyDescent="0.25">
      <c r="A107" s="15"/>
      <c r="B107" s="15" t="s">
        <v>144</v>
      </c>
      <c r="C107" s="15"/>
      <c r="D107" s="15"/>
      <c r="E107" s="15"/>
      <c r="F107" s="15"/>
      <c r="G107" s="15"/>
      <c r="H107" s="17"/>
      <c r="I107" s="17"/>
      <c r="J107" s="18"/>
      <c r="K107" s="16"/>
    </row>
    <row r="108" spans="1:11" ht="17.45" customHeight="1" x14ac:dyDescent="0.25">
      <c r="A108" s="15" t="s">
        <v>145</v>
      </c>
      <c r="B108" s="15"/>
      <c r="C108" s="15"/>
      <c r="D108" s="15"/>
      <c r="E108" s="15"/>
      <c r="F108" s="15"/>
      <c r="G108" s="15"/>
      <c r="H108" s="17"/>
      <c r="I108" s="17"/>
      <c r="J108" s="18"/>
      <c r="K108" s="16"/>
    </row>
    <row r="109" spans="1:11" ht="17.45" customHeight="1" x14ac:dyDescent="0.25">
      <c r="A109" s="15"/>
      <c r="B109" s="15"/>
      <c r="C109" s="15"/>
      <c r="D109" s="15"/>
      <c r="E109" s="15"/>
      <c r="F109" s="15"/>
      <c r="G109" s="15"/>
      <c r="H109" s="17">
        <f>H103-H102</f>
        <v>-28678.690000000061</v>
      </c>
      <c r="I109" s="17">
        <f>I103-I102</f>
        <v>4058.1999999999534</v>
      </c>
      <c r="J109" s="18"/>
      <c r="K109" s="16"/>
    </row>
  </sheetData>
  <pageMargins left="0.7" right="0.7" top="0.5" bottom="0.5" header="0" footer="0"/>
  <pageSetup scale="68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3651-49C4-414E-9248-869E015592A6}">
  <dimension ref="A1:B3"/>
  <sheetViews>
    <sheetView workbookViewId="0">
      <selection activeCell="A3" sqref="A3"/>
    </sheetView>
  </sheetViews>
  <sheetFormatPr defaultRowHeight="15" x14ac:dyDescent="0.25"/>
  <cols>
    <col min="1" max="1" width="10.140625" bestFit="1" customWidth="1"/>
  </cols>
  <sheetData>
    <row r="1" spans="1:2" x14ac:dyDescent="0.25">
      <c r="A1">
        <v>550000</v>
      </c>
    </row>
    <row r="2" spans="1:2" x14ac:dyDescent="0.25">
      <c r="A2">
        <f>550/10.5</f>
        <v>52.38095238095238</v>
      </c>
      <c r="B2">
        <f>A2/2</f>
        <v>26.19047619047619</v>
      </c>
    </row>
    <row r="3" spans="1:2" x14ac:dyDescent="0.25">
      <c r="A3" s="84">
        <v>52380.95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35"/>
  <sheetViews>
    <sheetView showGridLines="0" workbookViewId="0"/>
  </sheetViews>
  <sheetFormatPr defaultColWidth="8.85546875" defaultRowHeight="15" customHeight="1" x14ac:dyDescent="0.25"/>
  <cols>
    <col min="1" max="7" width="3" style="31" customWidth="1"/>
    <col min="8" max="8" width="31.7109375" style="31" customWidth="1"/>
    <col min="9" max="9" width="12.28515625" style="31" customWidth="1"/>
    <col min="10" max="10" width="8.7109375" style="31" customWidth="1"/>
    <col min="11" max="11" width="12" style="31" customWidth="1"/>
    <col min="12" max="12" width="10.28515625" style="31" customWidth="1"/>
    <col min="13" max="13" width="12.28515625" style="31" customWidth="1"/>
    <col min="14" max="14" width="8.7109375" style="31" customWidth="1"/>
    <col min="15" max="15" width="12" style="31" customWidth="1"/>
    <col min="16" max="16" width="10.28515625" style="31" customWidth="1"/>
    <col min="17" max="17" width="12.28515625" style="31" customWidth="1"/>
    <col min="18" max="18" width="8.7109375" style="31" customWidth="1"/>
    <col min="19" max="19" width="12" style="31" customWidth="1"/>
    <col min="20" max="20" width="10.28515625" style="31" customWidth="1"/>
    <col min="21" max="21" width="12.28515625" style="31" customWidth="1"/>
    <col min="22" max="22" width="8.7109375" style="31" customWidth="1"/>
    <col min="23" max="23" width="12" style="31" customWidth="1"/>
    <col min="24" max="24" width="10.28515625" style="31" customWidth="1"/>
    <col min="25" max="25" width="12.28515625" style="31" customWidth="1"/>
    <col min="26" max="26" width="8.7109375" style="31" customWidth="1"/>
    <col min="27" max="27" width="12" style="31" customWidth="1"/>
    <col min="28" max="28" width="10.28515625" style="31" customWidth="1"/>
    <col min="29" max="29" width="12.28515625" style="31" customWidth="1"/>
    <col min="30" max="30" width="8.7109375" style="31" customWidth="1"/>
    <col min="31" max="31" width="12" style="31" customWidth="1"/>
    <col min="32" max="32" width="10.28515625" style="31" customWidth="1"/>
    <col min="33" max="36" width="8.85546875" style="31" hidden="1" customWidth="1"/>
    <col min="37" max="38" width="10.140625" style="31" customWidth="1"/>
    <col min="39" max="40" width="12.42578125" style="31" customWidth="1"/>
    <col min="41" max="41" width="8.85546875" style="31" customWidth="1"/>
    <col min="42" max="16384" width="8.85546875" style="31"/>
  </cols>
  <sheetData>
    <row r="1" spans="1:40" ht="15.75" customHeight="1" x14ac:dyDescent="0.25">
      <c r="A1" s="32"/>
      <c r="B1" s="32"/>
      <c r="C1" s="32"/>
      <c r="D1" s="32"/>
      <c r="E1" s="32"/>
      <c r="F1" s="32"/>
      <c r="G1" s="32"/>
      <c r="H1" s="32"/>
      <c r="I1" s="33"/>
      <c r="J1" s="33"/>
      <c r="K1" s="33"/>
      <c r="L1" s="34"/>
      <c r="M1" s="35"/>
      <c r="N1" s="33"/>
      <c r="O1" s="33"/>
      <c r="P1" s="34"/>
      <c r="Q1" s="35"/>
      <c r="R1" s="33"/>
      <c r="S1" s="33"/>
      <c r="T1" s="34"/>
      <c r="U1" s="35"/>
      <c r="V1" s="33"/>
      <c r="W1" s="33"/>
      <c r="X1" s="34"/>
      <c r="Y1" s="35"/>
      <c r="Z1" s="33"/>
      <c r="AA1" s="33"/>
      <c r="AB1" s="34"/>
      <c r="AC1" s="35"/>
      <c r="AD1" s="33"/>
      <c r="AE1" s="33"/>
      <c r="AF1" s="34"/>
      <c r="AG1" s="36" t="s">
        <v>146</v>
      </c>
      <c r="AH1" s="37"/>
      <c r="AI1" s="37"/>
      <c r="AJ1" s="37"/>
      <c r="AK1" s="85" t="s">
        <v>147</v>
      </c>
      <c r="AL1" s="86"/>
      <c r="AM1" s="86"/>
      <c r="AN1" s="86"/>
    </row>
    <row r="2" spans="1:40" ht="16.5" customHeight="1" x14ac:dyDescent="0.25">
      <c r="A2" s="38"/>
      <c r="B2" s="38"/>
      <c r="C2" s="38"/>
      <c r="D2" s="38"/>
      <c r="E2" s="38"/>
      <c r="F2" s="38"/>
      <c r="G2" s="38"/>
      <c r="H2" s="38"/>
      <c r="I2" s="39" t="s">
        <v>148</v>
      </c>
      <c r="J2" s="39" t="s">
        <v>149</v>
      </c>
      <c r="K2" s="39" t="s">
        <v>150</v>
      </c>
      <c r="L2" s="40" t="s">
        <v>151</v>
      </c>
      <c r="M2" s="41" t="s">
        <v>152</v>
      </c>
      <c r="N2" s="39" t="s">
        <v>149</v>
      </c>
      <c r="O2" s="39" t="s">
        <v>150</v>
      </c>
      <c r="P2" s="40" t="s">
        <v>151</v>
      </c>
      <c r="Q2" s="41" t="s">
        <v>153</v>
      </c>
      <c r="R2" s="39" t="s">
        <v>149</v>
      </c>
      <c r="S2" s="39" t="s">
        <v>150</v>
      </c>
      <c r="T2" s="40" t="s">
        <v>151</v>
      </c>
      <c r="U2" s="41" t="s">
        <v>154</v>
      </c>
      <c r="V2" s="39" t="s">
        <v>149</v>
      </c>
      <c r="W2" s="39" t="s">
        <v>150</v>
      </c>
      <c r="X2" s="40" t="s">
        <v>151</v>
      </c>
      <c r="Y2" s="41" t="s">
        <v>155</v>
      </c>
      <c r="Z2" s="39" t="s">
        <v>149</v>
      </c>
      <c r="AA2" s="39" t="s">
        <v>150</v>
      </c>
      <c r="AB2" s="40" t="s">
        <v>151</v>
      </c>
      <c r="AC2" s="41" t="s">
        <v>156</v>
      </c>
      <c r="AD2" s="39" t="s">
        <v>149</v>
      </c>
      <c r="AE2" s="39" t="s">
        <v>150</v>
      </c>
      <c r="AF2" s="40" t="s">
        <v>151</v>
      </c>
      <c r="AG2" s="42" t="s">
        <v>157</v>
      </c>
      <c r="AH2" s="42" t="s">
        <v>149</v>
      </c>
      <c r="AI2" s="42" t="s">
        <v>150</v>
      </c>
      <c r="AJ2" s="42" t="s">
        <v>151</v>
      </c>
      <c r="AK2" s="43" t="s">
        <v>158</v>
      </c>
      <c r="AL2" s="44"/>
      <c r="AM2" s="45" t="s">
        <v>159</v>
      </c>
      <c r="AN2" s="45" t="s">
        <v>160</v>
      </c>
    </row>
    <row r="3" spans="1:40" ht="15.75" customHeight="1" x14ac:dyDescent="0.25">
      <c r="A3" s="32"/>
      <c r="B3" s="32" t="s">
        <v>4</v>
      </c>
      <c r="C3" s="32"/>
      <c r="D3" s="32"/>
      <c r="E3" s="32"/>
      <c r="F3" s="32"/>
      <c r="G3" s="32"/>
      <c r="H3" s="32"/>
      <c r="I3" s="46"/>
      <c r="J3" s="46"/>
      <c r="K3" s="46"/>
      <c r="L3" s="47"/>
      <c r="M3" s="48"/>
      <c r="N3" s="46"/>
      <c r="O3" s="46"/>
      <c r="P3" s="47"/>
      <c r="Q3" s="48"/>
      <c r="R3" s="46"/>
      <c r="S3" s="46"/>
      <c r="T3" s="47"/>
      <c r="U3" s="48"/>
      <c r="V3" s="46"/>
      <c r="W3" s="46"/>
      <c r="X3" s="47"/>
      <c r="Y3" s="48"/>
      <c r="Z3" s="46"/>
      <c r="AA3" s="46"/>
      <c r="AB3" s="47"/>
      <c r="AC3" s="48"/>
      <c r="AD3" s="46"/>
      <c r="AE3" s="46"/>
      <c r="AF3" s="47"/>
      <c r="AG3" s="49"/>
      <c r="AH3" s="49"/>
      <c r="AI3" s="49"/>
      <c r="AJ3" s="50"/>
      <c r="AK3" s="51"/>
      <c r="AL3" s="44"/>
      <c r="AM3" s="44"/>
      <c r="AN3" s="44"/>
    </row>
    <row r="4" spans="1:40" ht="15" customHeight="1" x14ac:dyDescent="0.25">
      <c r="A4" s="32"/>
      <c r="B4" s="32"/>
      <c r="C4" s="32"/>
      <c r="D4" s="32" t="s">
        <v>5</v>
      </c>
      <c r="E4" s="32"/>
      <c r="F4" s="32"/>
      <c r="G4" s="32"/>
      <c r="H4" s="32"/>
      <c r="I4" s="52"/>
      <c r="J4" s="52"/>
      <c r="K4" s="52"/>
      <c r="L4" s="53"/>
      <c r="M4" s="54"/>
      <c r="N4" s="52"/>
      <c r="O4" s="52"/>
      <c r="P4" s="53"/>
      <c r="Q4" s="54"/>
      <c r="R4" s="52"/>
      <c r="S4" s="52"/>
      <c r="T4" s="53"/>
      <c r="U4" s="54"/>
      <c r="V4" s="52"/>
      <c r="W4" s="52"/>
      <c r="X4" s="53"/>
      <c r="Y4" s="54"/>
      <c r="Z4" s="52"/>
      <c r="AA4" s="52"/>
      <c r="AB4" s="53"/>
      <c r="AC4" s="54"/>
      <c r="AD4" s="52"/>
      <c r="AE4" s="52"/>
      <c r="AF4" s="53"/>
      <c r="AG4" s="55"/>
      <c r="AH4" s="55"/>
      <c r="AI4" s="55"/>
      <c r="AJ4" s="56"/>
      <c r="AK4" s="51"/>
      <c r="AL4" s="44"/>
      <c r="AM4" s="44"/>
      <c r="AN4" s="44"/>
    </row>
    <row r="5" spans="1:40" ht="15" customHeight="1" x14ac:dyDescent="0.25">
      <c r="A5" s="32"/>
      <c r="B5" s="32"/>
      <c r="C5" s="32"/>
      <c r="D5" s="32"/>
      <c r="E5" s="32" t="s">
        <v>6</v>
      </c>
      <c r="F5" s="32"/>
      <c r="G5" s="32"/>
      <c r="H5" s="32"/>
      <c r="I5" s="52">
        <v>0</v>
      </c>
      <c r="J5" s="52"/>
      <c r="K5" s="52"/>
      <c r="L5" s="53"/>
      <c r="M5" s="54">
        <v>0</v>
      </c>
      <c r="N5" s="52"/>
      <c r="O5" s="52"/>
      <c r="P5" s="53"/>
      <c r="Q5" s="54">
        <v>0</v>
      </c>
      <c r="R5" s="52"/>
      <c r="S5" s="52"/>
      <c r="T5" s="53"/>
      <c r="U5" s="54">
        <v>100</v>
      </c>
      <c r="V5" s="52"/>
      <c r="W5" s="52"/>
      <c r="X5" s="53"/>
      <c r="Y5" s="54">
        <v>0</v>
      </c>
      <c r="Z5" s="52"/>
      <c r="AA5" s="52"/>
      <c r="AB5" s="53"/>
      <c r="AC5" s="54">
        <v>0</v>
      </c>
      <c r="AD5" s="52"/>
      <c r="AE5" s="52"/>
      <c r="AF5" s="53"/>
      <c r="AG5" s="55">
        <f>ROUND(I5+M5+Q5+U5+Y5+AC5,5)</f>
        <v>100</v>
      </c>
      <c r="AH5" s="55"/>
      <c r="AI5" s="55"/>
      <c r="AJ5" s="56"/>
      <c r="AK5" s="57">
        <f t="shared" ref="AK5:AK47" si="0">AVERAGE(I5,M5,Q5,U5,Y5,AC5)</f>
        <v>16.666666666666668</v>
      </c>
      <c r="AL5" s="58"/>
      <c r="AM5" s="58" t="e">
        <f t="shared" ref="AM5:AM36" si="1">AVERAGE(J5,N5,R5)</f>
        <v>#DIV/0!</v>
      </c>
      <c r="AN5" s="58" t="e">
        <f t="shared" ref="AN5:AN36" si="2">AVERAGE(V5,Z5,AD5)</f>
        <v>#DIV/0!</v>
      </c>
    </row>
    <row r="6" spans="1:40" ht="15" customHeight="1" x14ac:dyDescent="0.25">
      <c r="A6" s="32"/>
      <c r="B6" s="32"/>
      <c r="C6" s="32"/>
      <c r="D6" s="32"/>
      <c r="E6" s="32" t="s">
        <v>8</v>
      </c>
      <c r="F6" s="32"/>
      <c r="G6" s="32"/>
      <c r="H6" s="32"/>
      <c r="I6" s="52"/>
      <c r="J6" s="52"/>
      <c r="K6" s="52"/>
      <c r="L6" s="53"/>
      <c r="M6" s="54"/>
      <c r="N6" s="52"/>
      <c r="O6" s="52"/>
      <c r="P6" s="53"/>
      <c r="Q6" s="54"/>
      <c r="R6" s="52"/>
      <c r="S6" s="52"/>
      <c r="T6" s="53"/>
      <c r="U6" s="54"/>
      <c r="V6" s="52"/>
      <c r="W6" s="52"/>
      <c r="X6" s="53"/>
      <c r="Y6" s="54"/>
      <c r="Z6" s="52"/>
      <c r="AA6" s="52"/>
      <c r="AB6" s="53"/>
      <c r="AC6" s="54"/>
      <c r="AD6" s="52"/>
      <c r="AE6" s="52"/>
      <c r="AF6" s="53"/>
      <c r="AG6" s="55"/>
      <c r="AH6" s="55"/>
      <c r="AI6" s="55"/>
      <c r="AJ6" s="56"/>
      <c r="AK6" s="57" t="e">
        <f t="shared" si="0"/>
        <v>#DIV/0!</v>
      </c>
      <c r="AL6" s="58"/>
      <c r="AM6" s="58" t="e">
        <f t="shared" si="1"/>
        <v>#DIV/0!</v>
      </c>
      <c r="AN6" s="58" t="e">
        <f t="shared" si="2"/>
        <v>#DIV/0!</v>
      </c>
    </row>
    <row r="7" spans="1:40" ht="15" customHeight="1" x14ac:dyDescent="0.25">
      <c r="A7" s="32"/>
      <c r="B7" s="32"/>
      <c r="C7" s="32"/>
      <c r="D7" s="32"/>
      <c r="E7" s="32"/>
      <c r="F7" s="32" t="s">
        <v>9</v>
      </c>
      <c r="G7" s="32"/>
      <c r="H7" s="32"/>
      <c r="I7" s="52">
        <v>0</v>
      </c>
      <c r="J7" s="52"/>
      <c r="K7" s="52"/>
      <c r="L7" s="53"/>
      <c r="M7" s="54">
        <v>0</v>
      </c>
      <c r="N7" s="52"/>
      <c r="O7" s="52"/>
      <c r="P7" s="53"/>
      <c r="Q7" s="54">
        <v>0</v>
      </c>
      <c r="R7" s="52"/>
      <c r="S7" s="52"/>
      <c r="T7" s="53"/>
      <c r="U7" s="54">
        <v>0</v>
      </c>
      <c r="V7" s="52"/>
      <c r="W7" s="52"/>
      <c r="X7" s="53"/>
      <c r="Y7" s="54">
        <v>0</v>
      </c>
      <c r="Z7" s="52"/>
      <c r="AA7" s="52"/>
      <c r="AB7" s="53"/>
      <c r="AC7" s="54">
        <v>1709.96</v>
      </c>
      <c r="AD7" s="52"/>
      <c r="AE7" s="52"/>
      <c r="AF7" s="53"/>
      <c r="AG7" s="55">
        <f t="shared" ref="AG7:AG16" si="3">ROUND(I7+M7+Q7+U7+Y7+AC7,5)</f>
        <v>1709.96</v>
      </c>
      <c r="AH7" s="55"/>
      <c r="AI7" s="55"/>
      <c r="AJ7" s="56"/>
      <c r="AK7" s="57">
        <f t="shared" si="0"/>
        <v>284.99333333333334</v>
      </c>
      <c r="AL7" s="58"/>
      <c r="AM7" s="58" t="e">
        <f t="shared" si="1"/>
        <v>#DIV/0!</v>
      </c>
      <c r="AN7" s="58" t="e">
        <f t="shared" si="2"/>
        <v>#DIV/0!</v>
      </c>
    </row>
    <row r="8" spans="1:40" ht="15" customHeight="1" x14ac:dyDescent="0.25">
      <c r="A8" s="32"/>
      <c r="B8" s="32"/>
      <c r="C8" s="32"/>
      <c r="D8" s="32"/>
      <c r="E8" s="32"/>
      <c r="F8" s="32" t="s">
        <v>161</v>
      </c>
      <c r="G8" s="32"/>
      <c r="H8" s="32"/>
      <c r="I8" s="52">
        <v>128314.67</v>
      </c>
      <c r="J8" s="52">
        <v>147790.60999999999</v>
      </c>
      <c r="K8" s="52">
        <f t="shared" ref="K8:K16" si="4">ROUND((I8-J8),5)</f>
        <v>-19475.939999999999</v>
      </c>
      <c r="L8" s="53">
        <f t="shared" ref="L8:L16" si="5">ROUND(IF(J8=0,IF(I8=0,0,1),I8/J8),5)</f>
        <v>0.86821999999999999</v>
      </c>
      <c r="M8" s="54">
        <v>107912.65</v>
      </c>
      <c r="N8" s="52">
        <v>110000.04</v>
      </c>
      <c r="O8" s="52">
        <f t="shared" ref="O8:O16" si="6">ROUND((M8-N8),5)</f>
        <v>-2087.39</v>
      </c>
      <c r="P8" s="53">
        <f t="shared" ref="P8:P16" si="7">ROUND(IF(N8=0,IF(M8=0,0,1),M8/N8),5)</f>
        <v>0.98102</v>
      </c>
      <c r="Q8" s="54">
        <v>0</v>
      </c>
      <c r="R8" s="52">
        <v>0</v>
      </c>
      <c r="S8" s="52">
        <f t="shared" ref="S8:S16" si="8">ROUND((Q8-R8),5)</f>
        <v>0</v>
      </c>
      <c r="T8" s="53">
        <f t="shared" ref="T8:T16" si="9">ROUND(IF(R8=0,IF(Q8=0,0,1),Q8/R8),5)</f>
        <v>0</v>
      </c>
      <c r="U8" s="54">
        <v>0</v>
      </c>
      <c r="V8" s="52">
        <v>0</v>
      </c>
      <c r="W8" s="52">
        <f t="shared" ref="W8:W16" si="10">ROUND((U8-V8),5)</f>
        <v>0</v>
      </c>
      <c r="X8" s="53">
        <f t="shared" ref="X8:X16" si="11">ROUND(IF(V8=0,IF(U8=0,0,1),U8/V8),5)</f>
        <v>0</v>
      </c>
      <c r="Y8" s="54">
        <v>0</v>
      </c>
      <c r="Z8" s="52">
        <v>0</v>
      </c>
      <c r="AA8" s="52">
        <f t="shared" ref="AA8:AA16" si="12">ROUND((Y8-Z8),5)</f>
        <v>0</v>
      </c>
      <c r="AB8" s="53">
        <f t="shared" ref="AB8:AB16" si="13">ROUND(IF(Z8=0,IF(Y8=0,0,1),Y8/Z8),5)</f>
        <v>0</v>
      </c>
      <c r="AC8" s="54">
        <v>0</v>
      </c>
      <c r="AD8" s="52"/>
      <c r="AE8" s="52"/>
      <c r="AF8" s="53"/>
      <c r="AG8" s="55">
        <f t="shared" si="3"/>
        <v>236227.32</v>
      </c>
      <c r="AH8" s="55">
        <f t="shared" ref="AH8:AH16" si="14">ROUND(J8+N8+R8+V8+Z8+AD8,5)</f>
        <v>257790.65</v>
      </c>
      <c r="AI8" s="55">
        <f t="shared" ref="AI8:AI16" si="15">ROUND((AG8-AH8),5)</f>
        <v>-21563.33</v>
      </c>
      <c r="AJ8" s="56">
        <f t="shared" ref="AJ8:AJ16" si="16">ROUND(IF(AH8=0,IF(AG8=0,0,1),AG8/AH8),5)</f>
        <v>0.91635</v>
      </c>
      <c r="AK8" s="57">
        <f t="shared" si="0"/>
        <v>39371.22</v>
      </c>
      <c r="AL8" s="58"/>
      <c r="AM8" s="58">
        <f t="shared" si="1"/>
        <v>85930.21666666666</v>
      </c>
      <c r="AN8" s="58">
        <f t="shared" si="2"/>
        <v>0</v>
      </c>
    </row>
    <row r="9" spans="1:40" ht="15" customHeight="1" x14ac:dyDescent="0.25">
      <c r="A9" s="32"/>
      <c r="B9" s="32"/>
      <c r="C9" s="32"/>
      <c r="D9" s="32"/>
      <c r="E9" s="32"/>
      <c r="F9" s="32" t="s">
        <v>11</v>
      </c>
      <c r="G9" s="32"/>
      <c r="H9" s="32"/>
      <c r="I9" s="52">
        <v>75250</v>
      </c>
      <c r="J9" s="52">
        <v>68450</v>
      </c>
      <c r="K9" s="52">
        <f t="shared" si="4"/>
        <v>6800</v>
      </c>
      <c r="L9" s="53">
        <f t="shared" si="5"/>
        <v>1.09934</v>
      </c>
      <c r="M9" s="54">
        <v>78400</v>
      </c>
      <c r="N9" s="52">
        <v>93999.96</v>
      </c>
      <c r="O9" s="52">
        <f t="shared" si="6"/>
        <v>-15599.96</v>
      </c>
      <c r="P9" s="53">
        <f t="shared" si="7"/>
        <v>0.83404</v>
      </c>
      <c r="Q9" s="54">
        <v>78400</v>
      </c>
      <c r="R9" s="52">
        <v>78400</v>
      </c>
      <c r="S9" s="52">
        <f t="shared" si="8"/>
        <v>0</v>
      </c>
      <c r="T9" s="53">
        <f t="shared" si="9"/>
        <v>1</v>
      </c>
      <c r="U9" s="54">
        <v>81150</v>
      </c>
      <c r="V9" s="52">
        <v>81150</v>
      </c>
      <c r="W9" s="52">
        <f t="shared" si="10"/>
        <v>0</v>
      </c>
      <c r="X9" s="53">
        <f t="shared" si="11"/>
        <v>1</v>
      </c>
      <c r="Y9" s="54">
        <v>99724</v>
      </c>
      <c r="Z9" s="52">
        <v>69999.960000000006</v>
      </c>
      <c r="AA9" s="52">
        <f t="shared" si="12"/>
        <v>29724.04</v>
      </c>
      <c r="AB9" s="53">
        <f t="shared" si="13"/>
        <v>1.4246300000000001</v>
      </c>
      <c r="AC9" s="54">
        <v>102716</v>
      </c>
      <c r="AD9" s="52">
        <v>102716.04</v>
      </c>
      <c r="AE9" s="52">
        <f t="shared" ref="AE9:AE16" si="17">ROUND((AC9-AD9),5)</f>
        <v>-0.04</v>
      </c>
      <c r="AF9" s="53">
        <f t="shared" ref="AF9:AF16" si="18">ROUND(IF(AD9=0,IF(AC9=0,0,1),AC9/AD9),5)</f>
        <v>1</v>
      </c>
      <c r="AG9" s="55">
        <f t="shared" si="3"/>
        <v>515640</v>
      </c>
      <c r="AH9" s="55">
        <f t="shared" si="14"/>
        <v>494715.96</v>
      </c>
      <c r="AI9" s="55">
        <f t="shared" si="15"/>
        <v>20924.04</v>
      </c>
      <c r="AJ9" s="56">
        <f t="shared" si="16"/>
        <v>1.0423</v>
      </c>
      <c r="AK9" s="57">
        <f t="shared" si="0"/>
        <v>85940</v>
      </c>
      <c r="AL9" s="58"/>
      <c r="AM9" s="58">
        <f t="shared" si="1"/>
        <v>80283.320000000007</v>
      </c>
      <c r="AN9" s="58">
        <f t="shared" si="2"/>
        <v>84622</v>
      </c>
    </row>
    <row r="10" spans="1:40" ht="15" customHeight="1" x14ac:dyDescent="0.25">
      <c r="A10" s="32"/>
      <c r="B10" s="32"/>
      <c r="C10" s="32"/>
      <c r="D10" s="32"/>
      <c r="E10" s="32"/>
      <c r="F10" s="32" t="s">
        <v>13</v>
      </c>
      <c r="G10" s="32"/>
      <c r="H10" s="32"/>
      <c r="I10" s="52">
        <v>1.83</v>
      </c>
      <c r="J10" s="52">
        <v>0</v>
      </c>
      <c r="K10" s="52">
        <f t="shared" si="4"/>
        <v>1.83</v>
      </c>
      <c r="L10" s="53">
        <f t="shared" si="5"/>
        <v>1</v>
      </c>
      <c r="M10" s="54">
        <v>1544.59</v>
      </c>
      <c r="N10" s="52">
        <v>0</v>
      </c>
      <c r="O10" s="52">
        <f t="shared" si="6"/>
        <v>1544.59</v>
      </c>
      <c r="P10" s="53">
        <f t="shared" si="7"/>
        <v>1</v>
      </c>
      <c r="Q10" s="54">
        <v>2484.2399999999998</v>
      </c>
      <c r="R10" s="52">
        <v>0</v>
      </c>
      <c r="S10" s="52">
        <f t="shared" si="8"/>
        <v>2484.2399999999998</v>
      </c>
      <c r="T10" s="53">
        <f t="shared" si="9"/>
        <v>1</v>
      </c>
      <c r="U10" s="54">
        <v>2439.19</v>
      </c>
      <c r="V10" s="52">
        <v>0</v>
      </c>
      <c r="W10" s="52">
        <f t="shared" si="10"/>
        <v>2439.19</v>
      </c>
      <c r="X10" s="53">
        <f t="shared" si="11"/>
        <v>1</v>
      </c>
      <c r="Y10" s="54">
        <v>2097.7399999999998</v>
      </c>
      <c r="Z10" s="52">
        <v>0</v>
      </c>
      <c r="AA10" s="52">
        <f t="shared" si="12"/>
        <v>2097.7399999999998</v>
      </c>
      <c r="AB10" s="53">
        <f t="shared" si="13"/>
        <v>1</v>
      </c>
      <c r="AC10" s="54">
        <v>1514.4</v>
      </c>
      <c r="AD10" s="52">
        <v>999.96</v>
      </c>
      <c r="AE10" s="52">
        <f t="shared" si="17"/>
        <v>514.44000000000005</v>
      </c>
      <c r="AF10" s="53">
        <f t="shared" si="18"/>
        <v>1.5144599999999999</v>
      </c>
      <c r="AG10" s="55">
        <f t="shared" si="3"/>
        <v>10081.99</v>
      </c>
      <c r="AH10" s="55">
        <f t="shared" si="14"/>
        <v>999.96</v>
      </c>
      <c r="AI10" s="55">
        <f t="shared" si="15"/>
        <v>9082.0300000000007</v>
      </c>
      <c r="AJ10" s="56">
        <f t="shared" si="16"/>
        <v>10.08239</v>
      </c>
      <c r="AK10" s="57">
        <f t="shared" si="0"/>
        <v>1680.3316666666667</v>
      </c>
      <c r="AL10" s="58"/>
      <c r="AM10" s="58">
        <f t="shared" si="1"/>
        <v>0</v>
      </c>
      <c r="AN10" s="58">
        <f t="shared" si="2"/>
        <v>333.32</v>
      </c>
    </row>
    <row r="11" spans="1:40" ht="15" customHeight="1" x14ac:dyDescent="0.25">
      <c r="A11" s="32"/>
      <c r="B11" s="32"/>
      <c r="C11" s="32"/>
      <c r="D11" s="32"/>
      <c r="E11" s="32"/>
      <c r="F11" s="32" t="s">
        <v>14</v>
      </c>
      <c r="G11" s="32"/>
      <c r="H11" s="32"/>
      <c r="I11" s="52">
        <v>365418.15</v>
      </c>
      <c r="J11" s="52">
        <v>337595.17</v>
      </c>
      <c r="K11" s="52">
        <f t="shared" si="4"/>
        <v>27822.98</v>
      </c>
      <c r="L11" s="53">
        <f t="shared" si="5"/>
        <v>1.0824199999999999</v>
      </c>
      <c r="M11" s="54">
        <v>390547.91</v>
      </c>
      <c r="N11" s="52">
        <v>405000</v>
      </c>
      <c r="O11" s="52">
        <f t="shared" si="6"/>
        <v>-14452.09</v>
      </c>
      <c r="P11" s="53">
        <f t="shared" si="7"/>
        <v>0.96431999999999995</v>
      </c>
      <c r="Q11" s="54">
        <v>495203.83</v>
      </c>
      <c r="R11" s="52">
        <v>390000</v>
      </c>
      <c r="S11" s="52">
        <f t="shared" si="8"/>
        <v>105203.83</v>
      </c>
      <c r="T11" s="53">
        <f t="shared" si="9"/>
        <v>1.2697499999999999</v>
      </c>
      <c r="U11" s="54">
        <v>486375.29</v>
      </c>
      <c r="V11" s="52">
        <v>429999.96</v>
      </c>
      <c r="W11" s="52">
        <f t="shared" si="10"/>
        <v>56375.33</v>
      </c>
      <c r="X11" s="53">
        <f t="shared" si="11"/>
        <v>1.1311100000000001</v>
      </c>
      <c r="Y11" s="54">
        <v>524083.03</v>
      </c>
      <c r="Z11" s="52">
        <v>400000</v>
      </c>
      <c r="AA11" s="52">
        <f t="shared" si="12"/>
        <v>124083.03</v>
      </c>
      <c r="AB11" s="53">
        <f t="shared" si="13"/>
        <v>1.3102100000000001</v>
      </c>
      <c r="AC11" s="54">
        <v>260065.49</v>
      </c>
      <c r="AD11" s="52">
        <v>460000</v>
      </c>
      <c r="AE11" s="52">
        <f t="shared" si="17"/>
        <v>-199934.51</v>
      </c>
      <c r="AF11" s="53">
        <f t="shared" si="18"/>
        <v>0.56535999999999997</v>
      </c>
      <c r="AG11" s="55">
        <f t="shared" si="3"/>
        <v>2521693.7000000002</v>
      </c>
      <c r="AH11" s="55">
        <f t="shared" si="14"/>
        <v>2422595.13</v>
      </c>
      <c r="AI11" s="55">
        <f t="shared" si="15"/>
        <v>99098.57</v>
      </c>
      <c r="AJ11" s="56">
        <f t="shared" si="16"/>
        <v>1.04091</v>
      </c>
      <c r="AK11" s="57">
        <f t="shared" si="0"/>
        <v>420282.28333333338</v>
      </c>
      <c r="AL11" s="58"/>
      <c r="AM11" s="58">
        <f t="shared" si="1"/>
        <v>377531.72333333333</v>
      </c>
      <c r="AN11" s="58">
        <f t="shared" si="2"/>
        <v>429999.98666666663</v>
      </c>
    </row>
    <row r="12" spans="1:40" ht="15" customHeight="1" x14ac:dyDescent="0.25">
      <c r="A12" s="32"/>
      <c r="B12" s="32"/>
      <c r="C12" s="32"/>
      <c r="D12" s="32"/>
      <c r="E12" s="32"/>
      <c r="F12" s="32" t="s">
        <v>16</v>
      </c>
      <c r="G12" s="32"/>
      <c r="H12" s="32"/>
      <c r="I12" s="52">
        <v>725</v>
      </c>
      <c r="J12" s="52">
        <v>0</v>
      </c>
      <c r="K12" s="52">
        <f t="shared" si="4"/>
        <v>725</v>
      </c>
      <c r="L12" s="53">
        <f t="shared" si="5"/>
        <v>1</v>
      </c>
      <c r="M12" s="54">
        <v>132</v>
      </c>
      <c r="N12" s="52">
        <v>0</v>
      </c>
      <c r="O12" s="52">
        <f t="shared" si="6"/>
        <v>132</v>
      </c>
      <c r="P12" s="53">
        <f t="shared" si="7"/>
        <v>1</v>
      </c>
      <c r="Q12" s="54">
        <v>49</v>
      </c>
      <c r="R12" s="52">
        <v>0</v>
      </c>
      <c r="S12" s="52">
        <f t="shared" si="8"/>
        <v>49</v>
      </c>
      <c r="T12" s="53">
        <f t="shared" si="9"/>
        <v>1</v>
      </c>
      <c r="U12" s="54">
        <v>1747.2</v>
      </c>
      <c r="V12" s="52">
        <v>0</v>
      </c>
      <c r="W12" s="52">
        <f t="shared" si="10"/>
        <v>1747.2</v>
      </c>
      <c r="X12" s="53">
        <f t="shared" si="11"/>
        <v>1</v>
      </c>
      <c r="Y12" s="54">
        <v>326.67</v>
      </c>
      <c r="Z12" s="52">
        <v>0</v>
      </c>
      <c r="AA12" s="52">
        <f t="shared" si="12"/>
        <v>326.67</v>
      </c>
      <c r="AB12" s="53">
        <f t="shared" si="13"/>
        <v>1</v>
      </c>
      <c r="AC12" s="54">
        <v>341.42</v>
      </c>
      <c r="AD12" s="52">
        <v>40000</v>
      </c>
      <c r="AE12" s="52">
        <f t="shared" si="17"/>
        <v>-39658.58</v>
      </c>
      <c r="AF12" s="53">
        <f t="shared" si="18"/>
        <v>8.5400000000000007E-3</v>
      </c>
      <c r="AG12" s="55">
        <f t="shared" si="3"/>
        <v>3321.29</v>
      </c>
      <c r="AH12" s="55">
        <f t="shared" si="14"/>
        <v>40000</v>
      </c>
      <c r="AI12" s="55">
        <f t="shared" si="15"/>
        <v>-36678.71</v>
      </c>
      <c r="AJ12" s="56">
        <f t="shared" si="16"/>
        <v>8.3030000000000007E-2</v>
      </c>
      <c r="AK12" s="57">
        <f t="shared" si="0"/>
        <v>553.54833333333329</v>
      </c>
      <c r="AL12" s="58"/>
      <c r="AM12" s="58">
        <f t="shared" si="1"/>
        <v>0</v>
      </c>
      <c r="AN12" s="58">
        <f t="shared" si="2"/>
        <v>13333.333333333334</v>
      </c>
    </row>
    <row r="13" spans="1:40" ht="15.75" customHeight="1" x14ac:dyDescent="0.25">
      <c r="A13" s="32"/>
      <c r="B13" s="32"/>
      <c r="C13" s="32"/>
      <c r="D13" s="32"/>
      <c r="E13" s="32"/>
      <c r="F13" s="32" t="s">
        <v>18</v>
      </c>
      <c r="G13" s="32"/>
      <c r="H13" s="32"/>
      <c r="I13" s="59">
        <v>14824.48</v>
      </c>
      <c r="J13" s="59">
        <v>18000</v>
      </c>
      <c r="K13" s="59">
        <f t="shared" si="4"/>
        <v>-3175.52</v>
      </c>
      <c r="L13" s="60">
        <f t="shared" si="5"/>
        <v>0.82357999999999998</v>
      </c>
      <c r="M13" s="61">
        <v>16304.72</v>
      </c>
      <c r="N13" s="59">
        <v>14499.96</v>
      </c>
      <c r="O13" s="59">
        <f t="shared" si="6"/>
        <v>1804.76</v>
      </c>
      <c r="P13" s="60">
        <f t="shared" si="7"/>
        <v>1.1244700000000001</v>
      </c>
      <c r="Q13" s="61">
        <v>16027.67</v>
      </c>
      <c r="R13" s="59">
        <v>13800</v>
      </c>
      <c r="S13" s="59">
        <f t="shared" si="8"/>
        <v>2227.67</v>
      </c>
      <c r="T13" s="60">
        <f t="shared" si="9"/>
        <v>1.16143</v>
      </c>
      <c r="U13" s="61">
        <v>13095.31</v>
      </c>
      <c r="V13" s="59">
        <v>13800</v>
      </c>
      <c r="W13" s="59">
        <f t="shared" si="10"/>
        <v>-704.69</v>
      </c>
      <c r="X13" s="60">
        <f t="shared" si="11"/>
        <v>0.94894000000000001</v>
      </c>
      <c r="Y13" s="61">
        <v>16258.39</v>
      </c>
      <c r="Z13" s="59">
        <v>0</v>
      </c>
      <c r="AA13" s="59">
        <f t="shared" si="12"/>
        <v>16258.39</v>
      </c>
      <c r="AB13" s="60">
        <f t="shared" si="13"/>
        <v>1</v>
      </c>
      <c r="AC13" s="61">
        <v>5106.45</v>
      </c>
      <c r="AD13" s="59">
        <v>15000</v>
      </c>
      <c r="AE13" s="59">
        <f t="shared" si="17"/>
        <v>-9893.5499999999993</v>
      </c>
      <c r="AF13" s="60">
        <f t="shared" si="18"/>
        <v>0.34043000000000001</v>
      </c>
      <c r="AG13" s="62">
        <f t="shared" si="3"/>
        <v>81617.02</v>
      </c>
      <c r="AH13" s="62">
        <f t="shared" si="14"/>
        <v>75099.960000000006</v>
      </c>
      <c r="AI13" s="62">
        <f t="shared" si="15"/>
        <v>6517.06</v>
      </c>
      <c r="AJ13" s="63">
        <f t="shared" si="16"/>
        <v>1.0867800000000001</v>
      </c>
      <c r="AK13" s="57">
        <f t="shared" si="0"/>
        <v>13602.836666666664</v>
      </c>
      <c r="AL13" s="58"/>
      <c r="AM13" s="58">
        <f t="shared" si="1"/>
        <v>15433.32</v>
      </c>
      <c r="AN13" s="58">
        <f t="shared" si="2"/>
        <v>9600</v>
      </c>
    </row>
    <row r="14" spans="1:40" ht="15.75" customHeight="1" x14ac:dyDescent="0.25">
      <c r="A14" s="32"/>
      <c r="B14" s="32"/>
      <c r="C14" s="32"/>
      <c r="D14" s="32"/>
      <c r="E14" s="32" t="s">
        <v>20</v>
      </c>
      <c r="F14" s="32"/>
      <c r="G14" s="32"/>
      <c r="H14" s="32"/>
      <c r="I14" s="64">
        <f>ROUND(SUM(I6:I13),5)</f>
        <v>584534.13</v>
      </c>
      <c r="J14" s="64">
        <f>ROUND(SUM(J6:J13),5)</f>
        <v>571835.78</v>
      </c>
      <c r="K14" s="64">
        <f t="shared" si="4"/>
        <v>12698.35</v>
      </c>
      <c r="L14" s="65">
        <f t="shared" si="5"/>
        <v>1.0222100000000001</v>
      </c>
      <c r="M14" s="66">
        <f>ROUND(SUM(M6:M13),5)</f>
        <v>594841.87</v>
      </c>
      <c r="N14" s="64">
        <f>ROUND(SUM(N6:N13),5)</f>
        <v>623499.96</v>
      </c>
      <c r="O14" s="64">
        <f t="shared" si="6"/>
        <v>-28658.09</v>
      </c>
      <c r="P14" s="65">
        <f t="shared" si="7"/>
        <v>0.95404</v>
      </c>
      <c r="Q14" s="66">
        <f>ROUND(SUM(Q6:Q13),5)</f>
        <v>592164.74</v>
      </c>
      <c r="R14" s="64">
        <f>ROUND(SUM(R6:R13),5)</f>
        <v>482200</v>
      </c>
      <c r="S14" s="64">
        <f t="shared" si="8"/>
        <v>109964.74</v>
      </c>
      <c r="T14" s="65">
        <f t="shared" si="9"/>
        <v>1.2280500000000001</v>
      </c>
      <c r="U14" s="66">
        <f>ROUND(SUM(U6:U13),5)</f>
        <v>584806.99</v>
      </c>
      <c r="V14" s="64">
        <f>ROUND(SUM(V6:V13),5)</f>
        <v>524949.96</v>
      </c>
      <c r="W14" s="64">
        <f t="shared" si="10"/>
        <v>59857.03</v>
      </c>
      <c r="X14" s="65">
        <f t="shared" si="11"/>
        <v>1.11402</v>
      </c>
      <c r="Y14" s="66">
        <f>ROUND(SUM(Y6:Y13),5)</f>
        <v>642489.82999999996</v>
      </c>
      <c r="Z14" s="64">
        <f>ROUND(SUM(Z6:Z13),5)</f>
        <v>469999.96</v>
      </c>
      <c r="AA14" s="64">
        <f t="shared" si="12"/>
        <v>172489.87</v>
      </c>
      <c r="AB14" s="65">
        <f t="shared" si="13"/>
        <v>1.367</v>
      </c>
      <c r="AC14" s="66">
        <f>ROUND(SUM(AC6:AC13),5)</f>
        <v>371453.72</v>
      </c>
      <c r="AD14" s="64">
        <f>ROUND(SUM(AD6:AD13),5)</f>
        <v>618716</v>
      </c>
      <c r="AE14" s="64">
        <f t="shared" si="17"/>
        <v>-247262.28</v>
      </c>
      <c r="AF14" s="65">
        <f t="shared" si="18"/>
        <v>0.60036</v>
      </c>
      <c r="AG14" s="67">
        <f t="shared" si="3"/>
        <v>3370291.28</v>
      </c>
      <c r="AH14" s="67">
        <f t="shared" si="14"/>
        <v>3291201.66</v>
      </c>
      <c r="AI14" s="67">
        <f t="shared" si="15"/>
        <v>79089.62</v>
      </c>
      <c r="AJ14" s="68">
        <f t="shared" si="16"/>
        <v>1.02403</v>
      </c>
      <c r="AK14" s="57">
        <f t="shared" si="0"/>
        <v>561715.21333333338</v>
      </c>
      <c r="AL14" s="58"/>
      <c r="AM14" s="58">
        <f t="shared" si="1"/>
        <v>559178.57999999996</v>
      </c>
      <c r="AN14" s="58">
        <f t="shared" si="2"/>
        <v>537888.64</v>
      </c>
    </row>
    <row r="15" spans="1:40" ht="15.75" customHeight="1" x14ac:dyDescent="0.25">
      <c r="A15" s="32"/>
      <c r="B15" s="32"/>
      <c r="C15" s="32"/>
      <c r="D15" s="32" t="s">
        <v>21</v>
      </c>
      <c r="E15" s="32"/>
      <c r="F15" s="32"/>
      <c r="G15" s="32"/>
      <c r="H15" s="32"/>
      <c r="I15" s="64">
        <f>ROUND(SUM(I4:I5)+I14,5)</f>
        <v>584534.13</v>
      </c>
      <c r="J15" s="64">
        <f>ROUND(SUM(J4:J5)+J14,5)</f>
        <v>571835.78</v>
      </c>
      <c r="K15" s="64">
        <f t="shared" si="4"/>
        <v>12698.35</v>
      </c>
      <c r="L15" s="65">
        <f t="shared" si="5"/>
        <v>1.0222100000000001</v>
      </c>
      <c r="M15" s="66">
        <f>ROUND(SUM(M4:M5)+M14,5)</f>
        <v>594841.87</v>
      </c>
      <c r="N15" s="64">
        <f>ROUND(SUM(N4:N5)+N14,5)</f>
        <v>623499.96</v>
      </c>
      <c r="O15" s="64">
        <f t="shared" si="6"/>
        <v>-28658.09</v>
      </c>
      <c r="P15" s="65">
        <f t="shared" si="7"/>
        <v>0.95404</v>
      </c>
      <c r="Q15" s="66">
        <f>ROUND(SUM(Q4:Q5)+Q14,5)</f>
        <v>592164.74</v>
      </c>
      <c r="R15" s="64">
        <f>ROUND(SUM(R4:R5)+R14,5)</f>
        <v>482200</v>
      </c>
      <c r="S15" s="64">
        <f t="shared" si="8"/>
        <v>109964.74</v>
      </c>
      <c r="T15" s="65">
        <f t="shared" si="9"/>
        <v>1.2280500000000001</v>
      </c>
      <c r="U15" s="66">
        <f>ROUND(SUM(U4:U5)+U14,5)</f>
        <v>584906.99</v>
      </c>
      <c r="V15" s="64">
        <f>ROUND(SUM(V4:V5)+V14,5)</f>
        <v>524949.96</v>
      </c>
      <c r="W15" s="64">
        <f t="shared" si="10"/>
        <v>59957.03</v>
      </c>
      <c r="X15" s="65">
        <f t="shared" si="11"/>
        <v>1.1142099999999999</v>
      </c>
      <c r="Y15" s="66">
        <f>ROUND(SUM(Y4:Y5)+Y14,5)</f>
        <v>642489.82999999996</v>
      </c>
      <c r="Z15" s="64">
        <f>ROUND(SUM(Z4:Z5)+Z14,5)</f>
        <v>469999.96</v>
      </c>
      <c r="AA15" s="64">
        <f t="shared" si="12"/>
        <v>172489.87</v>
      </c>
      <c r="AB15" s="65">
        <f t="shared" si="13"/>
        <v>1.367</v>
      </c>
      <c r="AC15" s="66">
        <f>ROUND(SUM(AC4:AC5)+AC14,5)</f>
        <v>371453.72</v>
      </c>
      <c r="AD15" s="64">
        <f>ROUND(SUM(AD4:AD5)+AD14,5)</f>
        <v>618716</v>
      </c>
      <c r="AE15" s="64">
        <f t="shared" si="17"/>
        <v>-247262.28</v>
      </c>
      <c r="AF15" s="65">
        <f t="shared" si="18"/>
        <v>0.60036</v>
      </c>
      <c r="AG15" s="67">
        <f t="shared" si="3"/>
        <v>3370391.28</v>
      </c>
      <c r="AH15" s="67">
        <f t="shared" si="14"/>
        <v>3291201.66</v>
      </c>
      <c r="AI15" s="67">
        <f t="shared" si="15"/>
        <v>79189.62</v>
      </c>
      <c r="AJ15" s="68">
        <f t="shared" si="16"/>
        <v>1.02406</v>
      </c>
      <c r="AK15" s="57">
        <f t="shared" si="0"/>
        <v>561731.88</v>
      </c>
      <c r="AL15" s="58"/>
      <c r="AM15" s="58">
        <f t="shared" si="1"/>
        <v>559178.57999999996</v>
      </c>
      <c r="AN15" s="58">
        <f t="shared" si="2"/>
        <v>537888.64</v>
      </c>
    </row>
    <row r="16" spans="1:40" ht="15" customHeight="1" x14ac:dyDescent="0.25">
      <c r="A16" s="32"/>
      <c r="B16" s="32"/>
      <c r="C16" s="32" t="s">
        <v>22</v>
      </c>
      <c r="D16" s="32"/>
      <c r="E16" s="32"/>
      <c r="F16" s="32"/>
      <c r="G16" s="32"/>
      <c r="H16" s="32"/>
      <c r="I16" s="69">
        <f>I15</f>
        <v>584534.13</v>
      </c>
      <c r="J16" s="69">
        <f>J15</f>
        <v>571835.78</v>
      </c>
      <c r="K16" s="69">
        <f t="shared" si="4"/>
        <v>12698.35</v>
      </c>
      <c r="L16" s="70">
        <f t="shared" si="5"/>
        <v>1.0222100000000001</v>
      </c>
      <c r="M16" s="71">
        <f>M15</f>
        <v>594841.87</v>
      </c>
      <c r="N16" s="69">
        <f>N15</f>
        <v>623499.96</v>
      </c>
      <c r="O16" s="69">
        <f t="shared" si="6"/>
        <v>-28658.09</v>
      </c>
      <c r="P16" s="70">
        <f t="shared" si="7"/>
        <v>0.95404</v>
      </c>
      <c r="Q16" s="71">
        <f>Q15</f>
        <v>592164.74</v>
      </c>
      <c r="R16" s="69">
        <f>R15</f>
        <v>482200</v>
      </c>
      <c r="S16" s="69">
        <f t="shared" si="8"/>
        <v>109964.74</v>
      </c>
      <c r="T16" s="70">
        <f t="shared" si="9"/>
        <v>1.2280500000000001</v>
      </c>
      <c r="U16" s="71">
        <f>U15</f>
        <v>584906.99</v>
      </c>
      <c r="V16" s="69">
        <f>V15</f>
        <v>524949.96</v>
      </c>
      <c r="W16" s="69">
        <f t="shared" si="10"/>
        <v>59957.03</v>
      </c>
      <c r="X16" s="70">
        <f t="shared" si="11"/>
        <v>1.1142099999999999</v>
      </c>
      <c r="Y16" s="71">
        <f>Y15</f>
        <v>642489.82999999996</v>
      </c>
      <c r="Z16" s="69">
        <f>Z15</f>
        <v>469999.96</v>
      </c>
      <c r="AA16" s="69">
        <f t="shared" si="12"/>
        <v>172489.87</v>
      </c>
      <c r="AB16" s="70">
        <f t="shared" si="13"/>
        <v>1.367</v>
      </c>
      <c r="AC16" s="71">
        <f>AC15</f>
        <v>371453.72</v>
      </c>
      <c r="AD16" s="69">
        <f>AD15</f>
        <v>618716</v>
      </c>
      <c r="AE16" s="69">
        <f t="shared" si="17"/>
        <v>-247262.28</v>
      </c>
      <c r="AF16" s="70">
        <f t="shared" si="18"/>
        <v>0.60036</v>
      </c>
      <c r="AG16" s="72">
        <f t="shared" si="3"/>
        <v>3370391.28</v>
      </c>
      <c r="AH16" s="72">
        <f t="shared" si="14"/>
        <v>3291201.66</v>
      </c>
      <c r="AI16" s="72">
        <f t="shared" si="15"/>
        <v>79189.62</v>
      </c>
      <c r="AJ16" s="73">
        <f t="shared" si="16"/>
        <v>1.02406</v>
      </c>
      <c r="AK16" s="57">
        <f t="shared" si="0"/>
        <v>561731.88</v>
      </c>
      <c r="AL16" s="58"/>
      <c r="AM16" s="58">
        <f t="shared" si="1"/>
        <v>559178.57999999996</v>
      </c>
      <c r="AN16" s="58">
        <f t="shared" si="2"/>
        <v>537888.64</v>
      </c>
    </row>
    <row r="17" spans="1:40" ht="15" customHeight="1" x14ac:dyDescent="0.25">
      <c r="A17" s="32"/>
      <c r="B17" s="32"/>
      <c r="C17" s="32"/>
      <c r="D17" s="32" t="s">
        <v>23</v>
      </c>
      <c r="E17" s="32"/>
      <c r="F17" s="32"/>
      <c r="G17" s="32"/>
      <c r="H17" s="32"/>
      <c r="I17" s="52"/>
      <c r="J17" s="52"/>
      <c r="K17" s="52"/>
      <c r="L17" s="53"/>
      <c r="M17" s="54"/>
      <c r="N17" s="52"/>
      <c r="O17" s="52"/>
      <c r="P17" s="53"/>
      <c r="Q17" s="54"/>
      <c r="R17" s="52"/>
      <c r="S17" s="52"/>
      <c r="T17" s="53"/>
      <c r="U17" s="54"/>
      <c r="V17" s="52"/>
      <c r="W17" s="52"/>
      <c r="X17" s="53"/>
      <c r="Y17" s="54"/>
      <c r="Z17" s="52"/>
      <c r="AA17" s="52"/>
      <c r="AB17" s="53"/>
      <c r="AC17" s="54"/>
      <c r="AD17" s="52"/>
      <c r="AE17" s="52"/>
      <c r="AF17" s="53"/>
      <c r="AG17" s="55"/>
      <c r="AH17" s="55"/>
      <c r="AI17" s="55"/>
      <c r="AJ17" s="56"/>
      <c r="AK17" s="57" t="e">
        <f t="shared" si="0"/>
        <v>#DIV/0!</v>
      </c>
      <c r="AL17" s="58"/>
      <c r="AM17" s="58" t="e">
        <f t="shared" si="1"/>
        <v>#DIV/0!</v>
      </c>
      <c r="AN17" s="58" t="e">
        <f t="shared" si="2"/>
        <v>#DIV/0!</v>
      </c>
    </row>
    <row r="18" spans="1:40" ht="15" customHeight="1" x14ac:dyDescent="0.25">
      <c r="A18" s="32"/>
      <c r="B18" s="32"/>
      <c r="C18" s="32"/>
      <c r="D18" s="32"/>
      <c r="E18" s="32" t="s">
        <v>24</v>
      </c>
      <c r="F18" s="32"/>
      <c r="G18" s="32"/>
      <c r="H18" s="32"/>
      <c r="I18" s="52"/>
      <c r="J18" s="52"/>
      <c r="K18" s="52"/>
      <c r="L18" s="53"/>
      <c r="M18" s="54"/>
      <c r="N18" s="52"/>
      <c r="O18" s="52"/>
      <c r="P18" s="53"/>
      <c r="Q18" s="54"/>
      <c r="R18" s="52"/>
      <c r="S18" s="52"/>
      <c r="T18" s="53"/>
      <c r="U18" s="54"/>
      <c r="V18" s="52"/>
      <c r="W18" s="52"/>
      <c r="X18" s="53"/>
      <c r="Y18" s="54"/>
      <c r="Z18" s="52"/>
      <c r="AA18" s="52"/>
      <c r="AB18" s="53"/>
      <c r="AC18" s="54"/>
      <c r="AD18" s="52"/>
      <c r="AE18" s="52"/>
      <c r="AF18" s="53"/>
      <c r="AG18" s="55"/>
      <c r="AH18" s="55"/>
      <c r="AI18" s="55"/>
      <c r="AJ18" s="56"/>
      <c r="AK18" s="57" t="e">
        <f t="shared" si="0"/>
        <v>#DIV/0!</v>
      </c>
      <c r="AL18" s="58"/>
      <c r="AM18" s="58" t="e">
        <f t="shared" si="1"/>
        <v>#DIV/0!</v>
      </c>
      <c r="AN18" s="58" t="e">
        <f t="shared" si="2"/>
        <v>#DIV/0!</v>
      </c>
    </row>
    <row r="19" spans="1:40" ht="15" customHeight="1" x14ac:dyDescent="0.25">
      <c r="A19" s="32"/>
      <c r="B19" s="32"/>
      <c r="C19" s="32"/>
      <c r="D19" s="32"/>
      <c r="E19" s="32"/>
      <c r="F19" s="32" t="s">
        <v>25</v>
      </c>
      <c r="G19" s="32"/>
      <c r="H19" s="32"/>
      <c r="I19" s="52"/>
      <c r="J19" s="52"/>
      <c r="K19" s="52"/>
      <c r="L19" s="53"/>
      <c r="M19" s="54"/>
      <c r="N19" s="52"/>
      <c r="O19" s="52"/>
      <c r="P19" s="53"/>
      <c r="Q19" s="54"/>
      <c r="R19" s="52"/>
      <c r="S19" s="52"/>
      <c r="T19" s="53"/>
      <c r="U19" s="54"/>
      <c r="V19" s="52"/>
      <c r="W19" s="52"/>
      <c r="X19" s="53"/>
      <c r="Y19" s="54"/>
      <c r="Z19" s="52"/>
      <c r="AA19" s="52"/>
      <c r="AB19" s="53"/>
      <c r="AC19" s="54"/>
      <c r="AD19" s="52"/>
      <c r="AE19" s="52"/>
      <c r="AF19" s="53"/>
      <c r="AG19" s="55"/>
      <c r="AH19" s="55"/>
      <c r="AI19" s="55"/>
      <c r="AJ19" s="56"/>
      <c r="AK19" s="57" t="e">
        <f t="shared" si="0"/>
        <v>#DIV/0!</v>
      </c>
      <c r="AL19" s="58"/>
      <c r="AM19" s="58" t="e">
        <f t="shared" si="1"/>
        <v>#DIV/0!</v>
      </c>
      <c r="AN19" s="58" t="e">
        <f t="shared" si="2"/>
        <v>#DIV/0!</v>
      </c>
    </row>
    <row r="20" spans="1:40" ht="15" customHeight="1" x14ac:dyDescent="0.25">
      <c r="A20" s="32"/>
      <c r="B20" s="32"/>
      <c r="C20" s="32"/>
      <c r="D20" s="32"/>
      <c r="E20" s="32"/>
      <c r="F20" s="32"/>
      <c r="G20" s="32" t="s">
        <v>26</v>
      </c>
      <c r="H20" s="32"/>
      <c r="I20" s="52">
        <v>344.97</v>
      </c>
      <c r="J20" s="52">
        <v>480</v>
      </c>
      <c r="K20" s="52">
        <f t="shared" ref="K20:K26" si="19">ROUND((I20-J20),5)</f>
        <v>-135.03</v>
      </c>
      <c r="L20" s="53">
        <f t="shared" ref="L20:L26" si="20">ROUND(IF(J20=0,IF(I20=0,0,1),I20/J20),5)</f>
        <v>0.71869000000000005</v>
      </c>
      <c r="M20" s="54">
        <v>916.46</v>
      </c>
      <c r="N20" s="52">
        <v>480</v>
      </c>
      <c r="O20" s="52">
        <f t="shared" ref="O20:O26" si="21">ROUND((M20-N20),5)</f>
        <v>436.46</v>
      </c>
      <c r="P20" s="53">
        <f t="shared" ref="P20:P26" si="22">ROUND(IF(N20=0,IF(M20=0,0,1),M20/N20),5)</f>
        <v>1.9092899999999999</v>
      </c>
      <c r="Q20" s="54">
        <v>790</v>
      </c>
      <c r="R20" s="52">
        <v>480</v>
      </c>
      <c r="S20" s="52">
        <f t="shared" ref="S20:S26" si="23">ROUND((Q20-R20),5)</f>
        <v>310</v>
      </c>
      <c r="T20" s="53">
        <f t="shared" ref="T20:T26" si="24">ROUND(IF(R20=0,IF(Q20=0,0,1),Q20/R20),5)</f>
        <v>1.6458299999999999</v>
      </c>
      <c r="U20" s="54">
        <v>790</v>
      </c>
      <c r="V20" s="52">
        <v>789.96</v>
      </c>
      <c r="W20" s="52">
        <f t="shared" ref="W20:W26" si="25">ROUND((U20-V20),5)</f>
        <v>0.04</v>
      </c>
      <c r="X20" s="53">
        <f t="shared" ref="X20:X26" si="26">ROUND(IF(V20=0,IF(U20=0,0,1),U20/V20),5)</f>
        <v>1.0000500000000001</v>
      </c>
      <c r="Y20" s="54">
        <v>1105.17</v>
      </c>
      <c r="Z20" s="52">
        <v>799.92</v>
      </c>
      <c r="AA20" s="52">
        <f t="shared" ref="AA20:AA26" si="27">ROUND((Y20-Z20),5)</f>
        <v>305.25</v>
      </c>
      <c r="AB20" s="53">
        <f t="shared" ref="AB20:AB26" si="28">ROUND(IF(Z20=0,IF(Y20=0,0,1),Y20/Z20),5)</f>
        <v>1.3815999999999999</v>
      </c>
      <c r="AC20" s="54">
        <v>1102.4100000000001</v>
      </c>
      <c r="AD20" s="52">
        <v>1000</v>
      </c>
      <c r="AE20" s="52">
        <f t="shared" ref="AE20:AE26" si="29">ROUND((AC20-AD20),5)</f>
        <v>102.41</v>
      </c>
      <c r="AF20" s="53">
        <f t="shared" ref="AF20:AF26" si="30">ROUND(IF(AD20=0,IF(AC20=0,0,1),AC20/AD20),5)</f>
        <v>1.1024099999999999</v>
      </c>
      <c r="AG20" s="55">
        <f t="shared" ref="AG20:AH26" si="31">ROUND(I20+M20+Q20+U20+Y20+AC20,5)</f>
        <v>5049.01</v>
      </c>
      <c r="AH20" s="55">
        <f t="shared" si="31"/>
        <v>4029.88</v>
      </c>
      <c r="AI20" s="55">
        <f t="shared" ref="AI20:AI26" si="32">ROUND((AG20-AH20),5)</f>
        <v>1019.13</v>
      </c>
      <c r="AJ20" s="56">
        <f t="shared" ref="AJ20:AJ26" si="33">ROUND(IF(AH20=0,IF(AG20=0,0,1),AG20/AH20),5)</f>
        <v>1.2528900000000001</v>
      </c>
      <c r="AK20" s="57">
        <f t="shared" si="0"/>
        <v>841.50166666666667</v>
      </c>
      <c r="AL20" s="58"/>
      <c r="AM20" s="58">
        <f t="shared" si="1"/>
        <v>480</v>
      </c>
      <c r="AN20" s="58">
        <f t="shared" si="2"/>
        <v>863.29333333333341</v>
      </c>
    </row>
    <row r="21" spans="1:40" ht="15" customHeight="1" x14ac:dyDescent="0.25">
      <c r="A21" s="32"/>
      <c r="B21" s="32"/>
      <c r="C21" s="32"/>
      <c r="D21" s="32"/>
      <c r="E21" s="32"/>
      <c r="F21" s="32"/>
      <c r="G21" s="32" t="s">
        <v>28</v>
      </c>
      <c r="H21" s="32"/>
      <c r="I21" s="52">
        <v>3797.56</v>
      </c>
      <c r="J21" s="52">
        <v>3600</v>
      </c>
      <c r="K21" s="52">
        <f t="shared" si="19"/>
        <v>197.56</v>
      </c>
      <c r="L21" s="53">
        <f t="shared" si="20"/>
        <v>1.05488</v>
      </c>
      <c r="M21" s="54">
        <v>3543.63</v>
      </c>
      <c r="N21" s="52">
        <v>3600</v>
      </c>
      <c r="O21" s="52">
        <f t="shared" si="21"/>
        <v>-56.37</v>
      </c>
      <c r="P21" s="53">
        <f t="shared" si="22"/>
        <v>0.98433999999999999</v>
      </c>
      <c r="Q21" s="54">
        <v>4411.62</v>
      </c>
      <c r="R21" s="52">
        <v>3600</v>
      </c>
      <c r="S21" s="52">
        <f t="shared" si="23"/>
        <v>811.62</v>
      </c>
      <c r="T21" s="53">
        <f t="shared" si="24"/>
        <v>1.2254499999999999</v>
      </c>
      <c r="U21" s="54">
        <v>3784.8</v>
      </c>
      <c r="V21" s="52">
        <v>4899.96</v>
      </c>
      <c r="W21" s="52">
        <f t="shared" si="25"/>
        <v>-1115.1600000000001</v>
      </c>
      <c r="X21" s="53">
        <f t="shared" si="26"/>
        <v>0.77241000000000004</v>
      </c>
      <c r="Y21" s="54">
        <v>4151.53</v>
      </c>
      <c r="Z21" s="52">
        <v>3204</v>
      </c>
      <c r="AA21" s="52">
        <f t="shared" si="27"/>
        <v>947.53</v>
      </c>
      <c r="AB21" s="53">
        <f t="shared" si="28"/>
        <v>1.29573</v>
      </c>
      <c r="AC21" s="54">
        <v>2657.02</v>
      </c>
      <c r="AD21" s="52">
        <v>3000</v>
      </c>
      <c r="AE21" s="52">
        <f t="shared" si="29"/>
        <v>-342.98</v>
      </c>
      <c r="AF21" s="53">
        <f t="shared" si="30"/>
        <v>0.88566999999999996</v>
      </c>
      <c r="AG21" s="55">
        <f t="shared" si="31"/>
        <v>22346.16</v>
      </c>
      <c r="AH21" s="55">
        <f t="shared" si="31"/>
        <v>21903.96</v>
      </c>
      <c r="AI21" s="55">
        <f t="shared" si="32"/>
        <v>442.2</v>
      </c>
      <c r="AJ21" s="56">
        <f t="shared" si="33"/>
        <v>1.0201899999999999</v>
      </c>
      <c r="AK21" s="57">
        <f t="shared" si="0"/>
        <v>3724.36</v>
      </c>
      <c r="AL21" s="58"/>
      <c r="AM21" s="58">
        <f t="shared" si="1"/>
        <v>3600</v>
      </c>
      <c r="AN21" s="58">
        <f t="shared" si="2"/>
        <v>3701.3199999999997</v>
      </c>
    </row>
    <row r="22" spans="1:40" ht="15" customHeight="1" x14ac:dyDescent="0.25">
      <c r="A22" s="32"/>
      <c r="B22" s="32"/>
      <c r="C22" s="32"/>
      <c r="D22" s="32"/>
      <c r="E22" s="32"/>
      <c r="F22" s="32"/>
      <c r="G22" s="32" t="s">
        <v>30</v>
      </c>
      <c r="H22" s="32"/>
      <c r="I22" s="52">
        <v>281.56</v>
      </c>
      <c r="J22" s="52">
        <v>840</v>
      </c>
      <c r="K22" s="52">
        <f t="shared" si="19"/>
        <v>-558.44000000000005</v>
      </c>
      <c r="L22" s="53">
        <f t="shared" si="20"/>
        <v>0.33518999999999999</v>
      </c>
      <c r="M22" s="54">
        <v>0</v>
      </c>
      <c r="N22" s="52">
        <v>500.04</v>
      </c>
      <c r="O22" s="52">
        <f t="shared" si="21"/>
        <v>-500.04</v>
      </c>
      <c r="P22" s="53">
        <f t="shared" si="22"/>
        <v>0</v>
      </c>
      <c r="Q22" s="54">
        <v>400.95</v>
      </c>
      <c r="R22" s="52">
        <v>500.04</v>
      </c>
      <c r="S22" s="52">
        <f t="shared" si="23"/>
        <v>-99.09</v>
      </c>
      <c r="T22" s="53">
        <f t="shared" si="24"/>
        <v>0.80184</v>
      </c>
      <c r="U22" s="54">
        <v>60.32</v>
      </c>
      <c r="V22" s="52">
        <v>500.04</v>
      </c>
      <c r="W22" s="52">
        <f t="shared" si="25"/>
        <v>-439.72</v>
      </c>
      <c r="X22" s="53">
        <f t="shared" si="26"/>
        <v>0.12063</v>
      </c>
      <c r="Y22" s="54">
        <v>162.27000000000001</v>
      </c>
      <c r="Z22" s="52">
        <v>500.04</v>
      </c>
      <c r="AA22" s="52">
        <f t="shared" si="27"/>
        <v>-337.77</v>
      </c>
      <c r="AB22" s="53">
        <f t="shared" si="28"/>
        <v>0.32451000000000002</v>
      </c>
      <c r="AC22" s="54">
        <v>30.16</v>
      </c>
      <c r="AD22" s="52">
        <v>360</v>
      </c>
      <c r="AE22" s="52">
        <f t="shared" si="29"/>
        <v>-329.84</v>
      </c>
      <c r="AF22" s="53">
        <f t="shared" si="30"/>
        <v>8.3779999999999993E-2</v>
      </c>
      <c r="AG22" s="55">
        <f t="shared" si="31"/>
        <v>935.26</v>
      </c>
      <c r="AH22" s="55">
        <f t="shared" si="31"/>
        <v>3200.16</v>
      </c>
      <c r="AI22" s="55">
        <f t="shared" si="32"/>
        <v>-2264.9</v>
      </c>
      <c r="AJ22" s="56">
        <f t="shared" si="33"/>
        <v>0.29225000000000001</v>
      </c>
      <c r="AK22" s="57">
        <f t="shared" si="0"/>
        <v>155.87666666666667</v>
      </c>
      <c r="AL22" s="58"/>
      <c r="AM22" s="58">
        <f t="shared" si="1"/>
        <v>613.36</v>
      </c>
      <c r="AN22" s="58">
        <f t="shared" si="2"/>
        <v>453.35999999999996</v>
      </c>
    </row>
    <row r="23" spans="1:40" ht="15" customHeight="1" x14ac:dyDescent="0.25">
      <c r="A23" s="32"/>
      <c r="B23" s="32"/>
      <c r="C23" s="32"/>
      <c r="D23" s="32"/>
      <c r="E23" s="32"/>
      <c r="F23" s="32"/>
      <c r="G23" s="32" t="s">
        <v>32</v>
      </c>
      <c r="H23" s="32"/>
      <c r="I23" s="52">
        <v>599.99</v>
      </c>
      <c r="J23" s="52">
        <v>600</v>
      </c>
      <c r="K23" s="52">
        <f t="shared" si="19"/>
        <v>-0.01</v>
      </c>
      <c r="L23" s="53">
        <f t="shared" si="20"/>
        <v>0.99997999999999998</v>
      </c>
      <c r="M23" s="54">
        <v>599</v>
      </c>
      <c r="N23" s="52">
        <v>600</v>
      </c>
      <c r="O23" s="52">
        <f t="shared" si="21"/>
        <v>-1</v>
      </c>
      <c r="P23" s="53">
        <f t="shared" si="22"/>
        <v>0.99833000000000005</v>
      </c>
      <c r="Q23" s="54">
        <v>619.98</v>
      </c>
      <c r="R23" s="52">
        <v>600</v>
      </c>
      <c r="S23" s="52">
        <f t="shared" si="23"/>
        <v>19.98</v>
      </c>
      <c r="T23" s="53">
        <f t="shared" si="24"/>
        <v>1.0333000000000001</v>
      </c>
      <c r="U23" s="54">
        <v>419.99</v>
      </c>
      <c r="V23" s="52">
        <v>600</v>
      </c>
      <c r="W23" s="52">
        <f t="shared" si="25"/>
        <v>-180.01</v>
      </c>
      <c r="X23" s="53">
        <f t="shared" si="26"/>
        <v>0.69998000000000005</v>
      </c>
      <c r="Y23" s="54">
        <v>1075.98</v>
      </c>
      <c r="Z23" s="52">
        <v>600</v>
      </c>
      <c r="AA23" s="52">
        <f t="shared" si="27"/>
        <v>475.98</v>
      </c>
      <c r="AB23" s="53">
        <f t="shared" si="28"/>
        <v>1.7932999999999999</v>
      </c>
      <c r="AC23" s="54">
        <v>960</v>
      </c>
      <c r="AD23" s="52">
        <v>1200</v>
      </c>
      <c r="AE23" s="52">
        <f t="shared" si="29"/>
        <v>-240</v>
      </c>
      <c r="AF23" s="53">
        <f t="shared" si="30"/>
        <v>0.8</v>
      </c>
      <c r="AG23" s="55">
        <f t="shared" si="31"/>
        <v>4274.9399999999996</v>
      </c>
      <c r="AH23" s="55">
        <f t="shared" si="31"/>
        <v>4200</v>
      </c>
      <c r="AI23" s="55">
        <f t="shared" si="32"/>
        <v>74.94</v>
      </c>
      <c r="AJ23" s="56">
        <f t="shared" si="33"/>
        <v>1.0178400000000001</v>
      </c>
      <c r="AK23" s="57">
        <f t="shared" si="0"/>
        <v>712.49000000000012</v>
      </c>
      <c r="AL23" s="58"/>
      <c r="AM23" s="58">
        <f t="shared" si="1"/>
        <v>600</v>
      </c>
      <c r="AN23" s="58">
        <f t="shared" si="2"/>
        <v>800</v>
      </c>
    </row>
    <row r="24" spans="1:40" ht="15" customHeight="1" x14ac:dyDescent="0.25">
      <c r="A24" s="32"/>
      <c r="B24" s="32"/>
      <c r="C24" s="32"/>
      <c r="D24" s="32"/>
      <c r="E24" s="32"/>
      <c r="F24" s="32"/>
      <c r="G24" s="32" t="s">
        <v>34</v>
      </c>
      <c r="H24" s="32"/>
      <c r="I24" s="52">
        <v>0</v>
      </c>
      <c r="J24" s="52">
        <v>750</v>
      </c>
      <c r="K24" s="52">
        <f t="shared" si="19"/>
        <v>-750</v>
      </c>
      <c r="L24" s="53">
        <f t="shared" si="20"/>
        <v>0</v>
      </c>
      <c r="M24" s="54">
        <v>0</v>
      </c>
      <c r="N24" s="52">
        <v>7500</v>
      </c>
      <c r="O24" s="52">
        <f t="shared" si="21"/>
        <v>-7500</v>
      </c>
      <c r="P24" s="53">
        <f t="shared" si="22"/>
        <v>0</v>
      </c>
      <c r="Q24" s="54">
        <v>0</v>
      </c>
      <c r="R24" s="52">
        <v>750</v>
      </c>
      <c r="S24" s="52">
        <f t="shared" si="23"/>
        <v>-750</v>
      </c>
      <c r="T24" s="53">
        <f t="shared" si="24"/>
        <v>0</v>
      </c>
      <c r="U24" s="54">
        <v>0</v>
      </c>
      <c r="V24" s="52">
        <v>750</v>
      </c>
      <c r="W24" s="52">
        <f t="shared" si="25"/>
        <v>-750</v>
      </c>
      <c r="X24" s="53">
        <f t="shared" si="26"/>
        <v>0</v>
      </c>
      <c r="Y24" s="54">
        <v>346.99</v>
      </c>
      <c r="Z24" s="52">
        <v>750</v>
      </c>
      <c r="AA24" s="52">
        <f t="shared" si="27"/>
        <v>-403.01</v>
      </c>
      <c r="AB24" s="53">
        <f t="shared" si="28"/>
        <v>0.46265000000000001</v>
      </c>
      <c r="AC24" s="54">
        <v>19.989999999999998</v>
      </c>
      <c r="AD24" s="52">
        <v>350</v>
      </c>
      <c r="AE24" s="52">
        <f t="shared" si="29"/>
        <v>-330.01</v>
      </c>
      <c r="AF24" s="53">
        <f t="shared" si="30"/>
        <v>5.7110000000000001E-2</v>
      </c>
      <c r="AG24" s="55">
        <f t="shared" si="31"/>
        <v>366.98</v>
      </c>
      <c r="AH24" s="55">
        <f t="shared" si="31"/>
        <v>10850</v>
      </c>
      <c r="AI24" s="55">
        <f t="shared" si="32"/>
        <v>-10483.02</v>
      </c>
      <c r="AJ24" s="56">
        <f t="shared" si="33"/>
        <v>3.3820000000000003E-2</v>
      </c>
      <c r="AK24" s="57">
        <f t="shared" si="0"/>
        <v>61.163333333333334</v>
      </c>
      <c r="AL24" s="58"/>
      <c r="AM24" s="58">
        <f t="shared" si="1"/>
        <v>3000</v>
      </c>
      <c r="AN24" s="58">
        <f t="shared" si="2"/>
        <v>616.66666666666663</v>
      </c>
    </row>
    <row r="25" spans="1:40" ht="15.75" customHeight="1" x14ac:dyDescent="0.25">
      <c r="A25" s="32"/>
      <c r="B25" s="32"/>
      <c r="C25" s="32"/>
      <c r="D25" s="32"/>
      <c r="E25" s="32"/>
      <c r="F25" s="32"/>
      <c r="G25" s="32" t="s">
        <v>36</v>
      </c>
      <c r="H25" s="32"/>
      <c r="I25" s="59">
        <v>649.99</v>
      </c>
      <c r="J25" s="59">
        <v>1450.2</v>
      </c>
      <c r="K25" s="59">
        <f t="shared" si="19"/>
        <v>-800.21</v>
      </c>
      <c r="L25" s="60">
        <f t="shared" si="20"/>
        <v>0.44821</v>
      </c>
      <c r="M25" s="61">
        <v>492.9</v>
      </c>
      <c r="N25" s="59">
        <v>1250.04</v>
      </c>
      <c r="O25" s="59">
        <f t="shared" si="21"/>
        <v>-757.14</v>
      </c>
      <c r="P25" s="60">
        <f t="shared" si="22"/>
        <v>0.39430999999999999</v>
      </c>
      <c r="Q25" s="61">
        <v>628.19000000000005</v>
      </c>
      <c r="R25" s="59">
        <v>1250.04</v>
      </c>
      <c r="S25" s="59">
        <f t="shared" si="23"/>
        <v>-621.85</v>
      </c>
      <c r="T25" s="60">
        <f t="shared" si="24"/>
        <v>0.50253999999999999</v>
      </c>
      <c r="U25" s="61">
        <v>1241.3699999999999</v>
      </c>
      <c r="V25" s="59">
        <v>1250.04</v>
      </c>
      <c r="W25" s="59">
        <f t="shared" si="25"/>
        <v>-8.67</v>
      </c>
      <c r="X25" s="60">
        <f t="shared" si="26"/>
        <v>0.99306000000000005</v>
      </c>
      <c r="Y25" s="61">
        <v>1900.15</v>
      </c>
      <c r="Z25" s="59">
        <v>1250.04</v>
      </c>
      <c r="AA25" s="59">
        <f t="shared" si="27"/>
        <v>650.11</v>
      </c>
      <c r="AB25" s="60">
        <f t="shared" si="28"/>
        <v>1.52007</v>
      </c>
      <c r="AC25" s="61">
        <v>1485.85</v>
      </c>
      <c r="AD25" s="59">
        <v>1200</v>
      </c>
      <c r="AE25" s="59">
        <f t="shared" si="29"/>
        <v>285.85000000000002</v>
      </c>
      <c r="AF25" s="60">
        <f t="shared" si="30"/>
        <v>1.23821</v>
      </c>
      <c r="AG25" s="62">
        <f t="shared" si="31"/>
        <v>6398.45</v>
      </c>
      <c r="AH25" s="62">
        <f t="shared" si="31"/>
        <v>7650.36</v>
      </c>
      <c r="AI25" s="62">
        <f t="shared" si="32"/>
        <v>-1251.9100000000001</v>
      </c>
      <c r="AJ25" s="63">
        <f t="shared" si="33"/>
        <v>0.83635999999999999</v>
      </c>
      <c r="AK25" s="57">
        <f t="shared" si="0"/>
        <v>1066.4083333333335</v>
      </c>
      <c r="AL25" s="58"/>
      <c r="AM25" s="58">
        <f t="shared" si="1"/>
        <v>1316.76</v>
      </c>
      <c r="AN25" s="58">
        <f t="shared" si="2"/>
        <v>1233.3599999999999</v>
      </c>
    </row>
    <row r="26" spans="1:40" ht="15" customHeight="1" x14ac:dyDescent="0.25">
      <c r="A26" s="32"/>
      <c r="B26" s="32"/>
      <c r="C26" s="32"/>
      <c r="D26" s="32"/>
      <c r="E26" s="32"/>
      <c r="F26" s="32" t="s">
        <v>38</v>
      </c>
      <c r="G26" s="32"/>
      <c r="H26" s="32"/>
      <c r="I26" s="69">
        <f>ROUND(SUM(I19:I25),5)</f>
        <v>5674.07</v>
      </c>
      <c r="J26" s="69">
        <f>ROUND(SUM(J19:J25),5)</f>
        <v>7720.2</v>
      </c>
      <c r="K26" s="69">
        <f t="shared" si="19"/>
        <v>-2046.13</v>
      </c>
      <c r="L26" s="70">
        <f t="shared" si="20"/>
        <v>0.73495999999999995</v>
      </c>
      <c r="M26" s="71">
        <f>ROUND(SUM(M19:M25),5)</f>
        <v>5551.99</v>
      </c>
      <c r="N26" s="69">
        <f>ROUND(SUM(N19:N25),5)</f>
        <v>13930.08</v>
      </c>
      <c r="O26" s="69">
        <f t="shared" si="21"/>
        <v>-8378.09</v>
      </c>
      <c r="P26" s="70">
        <f t="shared" si="22"/>
        <v>0.39856000000000003</v>
      </c>
      <c r="Q26" s="71">
        <f>ROUND(SUM(Q19:Q25),5)</f>
        <v>6850.74</v>
      </c>
      <c r="R26" s="69">
        <f>ROUND(SUM(R19:R25),5)</f>
        <v>7180.08</v>
      </c>
      <c r="S26" s="69">
        <f t="shared" si="23"/>
        <v>-329.34</v>
      </c>
      <c r="T26" s="70">
        <f t="shared" si="24"/>
        <v>0.95413000000000003</v>
      </c>
      <c r="U26" s="71">
        <f>ROUND(SUM(U19:U25),5)</f>
        <v>6296.48</v>
      </c>
      <c r="V26" s="69">
        <f>ROUND(SUM(V19:V25),5)</f>
        <v>8790</v>
      </c>
      <c r="W26" s="69">
        <f t="shared" si="25"/>
        <v>-2493.52</v>
      </c>
      <c r="X26" s="70">
        <f t="shared" si="26"/>
        <v>0.71631999999999996</v>
      </c>
      <c r="Y26" s="71">
        <f>ROUND(SUM(Y19:Y25),5)</f>
        <v>8742.09</v>
      </c>
      <c r="Z26" s="69">
        <f>ROUND(SUM(Z19:Z25),5)</f>
        <v>7104</v>
      </c>
      <c r="AA26" s="69">
        <f t="shared" si="27"/>
        <v>1638.09</v>
      </c>
      <c r="AB26" s="70">
        <f t="shared" si="28"/>
        <v>1.2305900000000001</v>
      </c>
      <c r="AC26" s="71">
        <f>ROUND(SUM(AC19:AC25),5)</f>
        <v>6255.43</v>
      </c>
      <c r="AD26" s="69">
        <f>ROUND(SUM(AD19:AD25),5)</f>
        <v>7110</v>
      </c>
      <c r="AE26" s="69">
        <f t="shared" si="29"/>
        <v>-854.57</v>
      </c>
      <c r="AF26" s="70">
        <f t="shared" si="30"/>
        <v>0.87980999999999998</v>
      </c>
      <c r="AG26" s="72">
        <f t="shared" si="31"/>
        <v>39370.800000000003</v>
      </c>
      <c r="AH26" s="72">
        <f t="shared" si="31"/>
        <v>51834.36</v>
      </c>
      <c r="AI26" s="72">
        <f t="shared" si="32"/>
        <v>-12463.56</v>
      </c>
      <c r="AJ26" s="73">
        <f t="shared" si="33"/>
        <v>0.75954999999999995</v>
      </c>
      <c r="AK26" s="57">
        <f t="shared" si="0"/>
        <v>6561.7999999999993</v>
      </c>
      <c r="AL26" s="58"/>
      <c r="AM26" s="58">
        <f t="shared" si="1"/>
        <v>9610.1200000000008</v>
      </c>
      <c r="AN26" s="58">
        <f t="shared" si="2"/>
        <v>7668</v>
      </c>
    </row>
    <row r="27" spans="1:40" ht="15" customHeight="1" x14ac:dyDescent="0.25">
      <c r="A27" s="32"/>
      <c r="B27" s="32"/>
      <c r="C27" s="32"/>
      <c r="D27" s="32"/>
      <c r="E27" s="32"/>
      <c r="F27" s="32" t="s">
        <v>39</v>
      </c>
      <c r="G27" s="32"/>
      <c r="H27" s="32"/>
      <c r="I27" s="52"/>
      <c r="J27" s="52"/>
      <c r="K27" s="52"/>
      <c r="L27" s="53"/>
      <c r="M27" s="54"/>
      <c r="N27" s="52"/>
      <c r="O27" s="52"/>
      <c r="P27" s="53"/>
      <c r="Q27" s="54"/>
      <c r="R27" s="52"/>
      <c r="S27" s="52"/>
      <c r="T27" s="53"/>
      <c r="U27" s="54"/>
      <c r="V27" s="52"/>
      <c r="W27" s="52"/>
      <c r="X27" s="53"/>
      <c r="Y27" s="54"/>
      <c r="Z27" s="52"/>
      <c r="AA27" s="52"/>
      <c r="AB27" s="53"/>
      <c r="AC27" s="54"/>
      <c r="AD27" s="52"/>
      <c r="AE27" s="52"/>
      <c r="AF27" s="53"/>
      <c r="AG27" s="55"/>
      <c r="AH27" s="55"/>
      <c r="AI27" s="55"/>
      <c r="AJ27" s="56"/>
      <c r="AK27" s="57" t="e">
        <f t="shared" si="0"/>
        <v>#DIV/0!</v>
      </c>
      <c r="AL27" s="58"/>
      <c r="AM27" s="58" t="e">
        <f t="shared" si="1"/>
        <v>#DIV/0!</v>
      </c>
      <c r="AN27" s="58" t="e">
        <f t="shared" si="2"/>
        <v>#DIV/0!</v>
      </c>
    </row>
    <row r="28" spans="1:40" ht="15" customHeight="1" x14ac:dyDescent="0.25">
      <c r="A28" s="32"/>
      <c r="B28" s="32"/>
      <c r="C28" s="32"/>
      <c r="D28" s="32"/>
      <c r="E28" s="32"/>
      <c r="F28" s="32"/>
      <c r="G28" s="32" t="s">
        <v>40</v>
      </c>
      <c r="H28" s="32"/>
      <c r="I28" s="52">
        <v>4681.38</v>
      </c>
      <c r="J28" s="52">
        <v>3960</v>
      </c>
      <c r="K28" s="52">
        <f t="shared" ref="K28:K35" si="34">ROUND((I28-J28),5)</f>
        <v>721.38</v>
      </c>
      <c r="L28" s="53">
        <f t="shared" ref="L28:L35" si="35">ROUND(IF(J28=0,IF(I28=0,0,1),I28/J28),5)</f>
        <v>1.1821699999999999</v>
      </c>
      <c r="M28" s="54">
        <v>4936.45</v>
      </c>
      <c r="N28" s="52">
        <v>5199.96</v>
      </c>
      <c r="O28" s="52">
        <f t="shared" ref="O28:O35" si="36">ROUND((M28-N28),5)</f>
        <v>-263.51</v>
      </c>
      <c r="P28" s="53">
        <f t="shared" ref="P28:P35" si="37">ROUND(IF(N28=0,IF(M28=0,0,1),M28/N28),5)</f>
        <v>0.94932000000000005</v>
      </c>
      <c r="Q28" s="54">
        <v>3875.84</v>
      </c>
      <c r="R28" s="52">
        <v>5199.96</v>
      </c>
      <c r="S28" s="52">
        <f>ROUND((Q28-R28),5)</f>
        <v>-1324.12</v>
      </c>
      <c r="T28" s="53">
        <f>ROUND(IF(R28=0,IF(Q28=0,0,1),Q28/R28),5)</f>
        <v>0.74536000000000002</v>
      </c>
      <c r="U28" s="54">
        <v>4466.1400000000003</v>
      </c>
      <c r="V28" s="52">
        <v>5199.96</v>
      </c>
      <c r="W28" s="52">
        <f>ROUND((U28-V28),5)</f>
        <v>-733.82</v>
      </c>
      <c r="X28" s="53">
        <f>ROUND(IF(V28=0,IF(U28=0,0,1),U28/V28),5)</f>
        <v>0.85887999999999998</v>
      </c>
      <c r="Y28" s="54">
        <v>3831.4</v>
      </c>
      <c r="Z28" s="52">
        <v>4176</v>
      </c>
      <c r="AA28" s="52">
        <f>ROUND((Y28-Z28),5)</f>
        <v>-344.6</v>
      </c>
      <c r="AB28" s="53">
        <f>ROUND(IF(Z28=0,IF(Y28=0,0,1),Y28/Z28),5)</f>
        <v>0.91747999999999996</v>
      </c>
      <c r="AC28" s="54">
        <v>3483.1</v>
      </c>
      <c r="AD28" s="52">
        <v>4176</v>
      </c>
      <c r="AE28" s="52">
        <f>ROUND((AC28-AD28),5)</f>
        <v>-692.9</v>
      </c>
      <c r="AF28" s="53">
        <f>ROUND(IF(AD28=0,IF(AC28=0,0,1),AC28/AD28),5)</f>
        <v>0.83408000000000004</v>
      </c>
      <c r="AG28" s="55">
        <f t="shared" ref="AG28:AH35" si="38">ROUND(I28+M28+Q28+U28+Y28+AC28,5)</f>
        <v>25274.31</v>
      </c>
      <c r="AH28" s="55">
        <f t="shared" si="38"/>
        <v>27911.88</v>
      </c>
      <c r="AI28" s="55">
        <f t="shared" ref="AI28:AI35" si="39">ROUND((AG28-AH28),5)</f>
        <v>-2637.57</v>
      </c>
      <c r="AJ28" s="56">
        <f t="shared" ref="AJ28:AJ35" si="40">ROUND(IF(AH28=0,IF(AG28=0,0,1),AG28/AH28),5)</f>
        <v>0.90549999999999997</v>
      </c>
      <c r="AK28" s="57">
        <f t="shared" si="0"/>
        <v>4212.3850000000002</v>
      </c>
      <c r="AL28" s="58"/>
      <c r="AM28" s="58">
        <f t="shared" si="1"/>
        <v>4786.6399999999994</v>
      </c>
      <c r="AN28" s="58">
        <f t="shared" si="2"/>
        <v>4517.32</v>
      </c>
    </row>
    <row r="29" spans="1:40" ht="15" customHeight="1" x14ac:dyDescent="0.25">
      <c r="A29" s="32"/>
      <c r="B29" s="32"/>
      <c r="C29" s="32"/>
      <c r="D29" s="32"/>
      <c r="E29" s="32"/>
      <c r="F29" s="32"/>
      <c r="G29" s="32" t="s">
        <v>41</v>
      </c>
      <c r="H29" s="32"/>
      <c r="I29" s="52">
        <v>23035.48</v>
      </c>
      <c r="J29" s="52">
        <v>21000</v>
      </c>
      <c r="K29" s="52">
        <f t="shared" si="34"/>
        <v>2035.48</v>
      </c>
      <c r="L29" s="53">
        <f t="shared" si="35"/>
        <v>1.09693</v>
      </c>
      <c r="M29" s="54">
        <v>21520.01</v>
      </c>
      <c r="N29" s="52">
        <v>24999.96</v>
      </c>
      <c r="O29" s="52">
        <f t="shared" si="36"/>
        <v>-3479.95</v>
      </c>
      <c r="P29" s="53">
        <f t="shared" si="37"/>
        <v>0.86080000000000001</v>
      </c>
      <c r="Q29" s="54">
        <v>21950.400000000001</v>
      </c>
      <c r="R29" s="52">
        <v>24999.96</v>
      </c>
      <c r="S29" s="52">
        <f>ROUND((Q29-R29),5)</f>
        <v>-3049.56</v>
      </c>
      <c r="T29" s="53">
        <f>ROUND(IF(R29=0,IF(Q29=0,0,1),Q29/R29),5)</f>
        <v>0.87802000000000002</v>
      </c>
      <c r="U29" s="54">
        <v>24273.67</v>
      </c>
      <c r="V29" s="52">
        <v>24999</v>
      </c>
      <c r="W29" s="52">
        <f>ROUND((U29-V29),5)</f>
        <v>-725.33</v>
      </c>
      <c r="X29" s="53">
        <f>ROUND(IF(V29=0,IF(U29=0,0,1),U29/V29),5)</f>
        <v>0.97099000000000002</v>
      </c>
      <c r="Y29" s="54">
        <v>20897.150000000001</v>
      </c>
      <c r="Z29" s="52">
        <v>22608</v>
      </c>
      <c r="AA29" s="52">
        <f>ROUND((Y29-Z29),5)</f>
        <v>-1710.85</v>
      </c>
      <c r="AB29" s="53">
        <f>ROUND(IF(Z29=0,IF(Y29=0,0,1),Y29/Z29),5)</f>
        <v>0.92432999999999998</v>
      </c>
      <c r="AC29" s="54">
        <v>21540.35</v>
      </c>
      <c r="AD29" s="52">
        <v>22980</v>
      </c>
      <c r="AE29" s="52">
        <f>ROUND((AC29-AD29),5)</f>
        <v>-1439.65</v>
      </c>
      <c r="AF29" s="53">
        <f>ROUND(IF(AD29=0,IF(AC29=0,0,1),AC29/AD29),5)</f>
        <v>0.93735000000000002</v>
      </c>
      <c r="AG29" s="55">
        <f t="shared" si="38"/>
        <v>133217.06</v>
      </c>
      <c r="AH29" s="55">
        <f t="shared" si="38"/>
        <v>141586.92000000001</v>
      </c>
      <c r="AI29" s="55">
        <f t="shared" si="39"/>
        <v>-8369.86</v>
      </c>
      <c r="AJ29" s="56">
        <f t="shared" si="40"/>
        <v>0.94089</v>
      </c>
      <c r="AK29" s="57">
        <f t="shared" si="0"/>
        <v>22202.843333333334</v>
      </c>
      <c r="AL29" s="58"/>
      <c r="AM29" s="58">
        <f t="shared" si="1"/>
        <v>23666.639999999999</v>
      </c>
      <c r="AN29" s="58">
        <f t="shared" si="2"/>
        <v>23529</v>
      </c>
    </row>
    <row r="30" spans="1:40" ht="15" customHeight="1" x14ac:dyDescent="0.25">
      <c r="A30" s="32"/>
      <c r="B30" s="32"/>
      <c r="C30" s="32"/>
      <c r="D30" s="32"/>
      <c r="E30" s="32"/>
      <c r="F30" s="32"/>
      <c r="G30" s="32" t="s">
        <v>162</v>
      </c>
      <c r="H30" s="32"/>
      <c r="I30" s="52">
        <v>1650</v>
      </c>
      <c r="J30" s="52">
        <v>1800</v>
      </c>
      <c r="K30" s="52">
        <f t="shared" si="34"/>
        <v>-150</v>
      </c>
      <c r="L30" s="53">
        <f t="shared" si="35"/>
        <v>0.91666999999999998</v>
      </c>
      <c r="M30" s="54">
        <v>0</v>
      </c>
      <c r="N30" s="52">
        <v>0</v>
      </c>
      <c r="O30" s="52">
        <f t="shared" si="36"/>
        <v>0</v>
      </c>
      <c r="P30" s="53">
        <f t="shared" si="37"/>
        <v>0</v>
      </c>
      <c r="Q30" s="54">
        <v>0</v>
      </c>
      <c r="R30" s="52"/>
      <c r="S30" s="52"/>
      <c r="T30" s="53"/>
      <c r="U30" s="54">
        <v>0</v>
      </c>
      <c r="V30" s="52"/>
      <c r="W30" s="52"/>
      <c r="X30" s="53"/>
      <c r="Y30" s="54">
        <v>0</v>
      </c>
      <c r="Z30" s="52"/>
      <c r="AA30" s="52"/>
      <c r="AB30" s="53"/>
      <c r="AC30" s="54">
        <v>0</v>
      </c>
      <c r="AD30" s="52"/>
      <c r="AE30" s="52"/>
      <c r="AF30" s="53"/>
      <c r="AG30" s="55">
        <f t="shared" si="38"/>
        <v>1650</v>
      </c>
      <c r="AH30" s="55">
        <f t="shared" si="38"/>
        <v>1800</v>
      </c>
      <c r="AI30" s="55">
        <f t="shared" si="39"/>
        <v>-150</v>
      </c>
      <c r="AJ30" s="56">
        <f t="shared" si="40"/>
        <v>0.91666999999999998</v>
      </c>
      <c r="AK30" s="57">
        <f t="shared" si="0"/>
        <v>275</v>
      </c>
      <c r="AL30" s="58"/>
      <c r="AM30" s="58">
        <f t="shared" si="1"/>
        <v>900</v>
      </c>
      <c r="AN30" s="58" t="e">
        <f t="shared" si="2"/>
        <v>#DIV/0!</v>
      </c>
    </row>
    <row r="31" spans="1:40" ht="15" customHeight="1" x14ac:dyDescent="0.25">
      <c r="A31" s="32"/>
      <c r="B31" s="32"/>
      <c r="C31" s="32"/>
      <c r="D31" s="32"/>
      <c r="E31" s="32"/>
      <c r="F31" s="32"/>
      <c r="G31" s="32" t="s">
        <v>163</v>
      </c>
      <c r="H31" s="32"/>
      <c r="I31" s="52">
        <v>0</v>
      </c>
      <c r="J31" s="52">
        <v>0</v>
      </c>
      <c r="K31" s="52">
        <f t="shared" si="34"/>
        <v>0</v>
      </c>
      <c r="L31" s="53">
        <f t="shared" si="35"/>
        <v>0</v>
      </c>
      <c r="M31" s="54">
        <v>0</v>
      </c>
      <c r="N31" s="52">
        <v>0</v>
      </c>
      <c r="O31" s="52">
        <f t="shared" si="36"/>
        <v>0</v>
      </c>
      <c r="P31" s="53">
        <f t="shared" si="37"/>
        <v>0</v>
      </c>
      <c r="Q31" s="54">
        <v>0</v>
      </c>
      <c r="R31" s="52"/>
      <c r="S31" s="52"/>
      <c r="T31" s="53"/>
      <c r="U31" s="54">
        <v>0</v>
      </c>
      <c r="V31" s="52"/>
      <c r="W31" s="52"/>
      <c r="X31" s="53"/>
      <c r="Y31" s="54">
        <v>0</v>
      </c>
      <c r="Z31" s="52"/>
      <c r="AA31" s="52"/>
      <c r="AB31" s="53"/>
      <c r="AC31" s="54">
        <v>0</v>
      </c>
      <c r="AD31" s="52"/>
      <c r="AE31" s="52"/>
      <c r="AF31" s="53"/>
      <c r="AG31" s="55">
        <f t="shared" si="38"/>
        <v>0</v>
      </c>
      <c r="AH31" s="55">
        <f t="shared" si="38"/>
        <v>0</v>
      </c>
      <c r="AI31" s="55">
        <f t="shared" si="39"/>
        <v>0</v>
      </c>
      <c r="AJ31" s="56">
        <f t="shared" si="40"/>
        <v>0</v>
      </c>
      <c r="AK31" s="57">
        <f t="shared" si="0"/>
        <v>0</v>
      </c>
      <c r="AL31" s="58"/>
      <c r="AM31" s="58">
        <f t="shared" si="1"/>
        <v>0</v>
      </c>
      <c r="AN31" s="58" t="e">
        <f t="shared" si="2"/>
        <v>#DIV/0!</v>
      </c>
    </row>
    <row r="32" spans="1:40" ht="15" customHeight="1" x14ac:dyDescent="0.25">
      <c r="A32" s="32"/>
      <c r="B32" s="32"/>
      <c r="C32" s="32"/>
      <c r="D32" s="32"/>
      <c r="E32" s="32"/>
      <c r="F32" s="32"/>
      <c r="G32" s="32" t="s">
        <v>43</v>
      </c>
      <c r="H32" s="32"/>
      <c r="I32" s="52">
        <v>1956.31</v>
      </c>
      <c r="J32" s="52">
        <v>1350</v>
      </c>
      <c r="K32" s="52">
        <f t="shared" si="34"/>
        <v>606.30999999999995</v>
      </c>
      <c r="L32" s="53">
        <f t="shared" si="35"/>
        <v>1.44912</v>
      </c>
      <c r="M32" s="54">
        <v>2178.3000000000002</v>
      </c>
      <c r="N32" s="52">
        <v>2000.04</v>
      </c>
      <c r="O32" s="52">
        <f t="shared" si="36"/>
        <v>178.26</v>
      </c>
      <c r="P32" s="53">
        <f t="shared" si="37"/>
        <v>1.0891299999999999</v>
      </c>
      <c r="Q32" s="54">
        <v>1150</v>
      </c>
      <c r="R32" s="52">
        <v>1599.96</v>
      </c>
      <c r="S32" s="52">
        <f>ROUND((Q32-R32),5)</f>
        <v>-449.96</v>
      </c>
      <c r="T32" s="53">
        <f>ROUND(IF(R32=0,IF(Q32=0,0,1),Q32/R32),5)</f>
        <v>0.71877000000000002</v>
      </c>
      <c r="U32" s="54">
        <v>1444</v>
      </c>
      <c r="V32" s="52">
        <v>1599.96</v>
      </c>
      <c r="W32" s="52">
        <f>ROUND((U32-V32),5)</f>
        <v>-155.96</v>
      </c>
      <c r="X32" s="53">
        <f>ROUND(IF(V32=0,IF(U32=0,0,1),U32/V32),5)</f>
        <v>0.90251999999999999</v>
      </c>
      <c r="Y32" s="54">
        <v>1494</v>
      </c>
      <c r="Z32" s="52">
        <v>1599.96</v>
      </c>
      <c r="AA32" s="52">
        <f>ROUND((Y32-Z32),5)</f>
        <v>-105.96</v>
      </c>
      <c r="AB32" s="53">
        <f>ROUND(IF(Z32=0,IF(Y32=0,0,1),Y32/Z32),5)</f>
        <v>0.93376999999999999</v>
      </c>
      <c r="AC32" s="54">
        <v>0</v>
      </c>
      <c r="AD32" s="52">
        <v>1500</v>
      </c>
      <c r="AE32" s="52">
        <f>ROUND((AC32-AD32),5)</f>
        <v>-1500</v>
      </c>
      <c r="AF32" s="53">
        <f>ROUND(IF(AD32=0,IF(AC32=0,0,1),AC32/AD32),5)</f>
        <v>0</v>
      </c>
      <c r="AG32" s="55">
        <f t="shared" si="38"/>
        <v>8222.61</v>
      </c>
      <c r="AH32" s="55">
        <f t="shared" si="38"/>
        <v>9649.92</v>
      </c>
      <c r="AI32" s="55">
        <f t="shared" si="39"/>
        <v>-1427.31</v>
      </c>
      <c r="AJ32" s="56">
        <f t="shared" si="40"/>
        <v>0.85209000000000001</v>
      </c>
      <c r="AK32" s="57">
        <f t="shared" si="0"/>
        <v>1370.4350000000002</v>
      </c>
      <c r="AL32" s="58"/>
      <c r="AM32" s="58">
        <f t="shared" si="1"/>
        <v>1650</v>
      </c>
      <c r="AN32" s="58">
        <f t="shared" si="2"/>
        <v>1566.64</v>
      </c>
    </row>
    <row r="33" spans="1:40" ht="15" customHeight="1" x14ac:dyDescent="0.25">
      <c r="A33" s="32"/>
      <c r="B33" s="32"/>
      <c r="C33" s="32"/>
      <c r="D33" s="32"/>
      <c r="E33" s="32"/>
      <c r="F33" s="32"/>
      <c r="G33" s="32" t="s">
        <v>45</v>
      </c>
      <c r="H33" s="32"/>
      <c r="I33" s="52">
        <v>4234.84</v>
      </c>
      <c r="J33" s="52">
        <v>3600</v>
      </c>
      <c r="K33" s="52">
        <f t="shared" si="34"/>
        <v>634.84</v>
      </c>
      <c r="L33" s="53">
        <f t="shared" si="35"/>
        <v>1.1763399999999999</v>
      </c>
      <c r="M33" s="54">
        <v>4112.42</v>
      </c>
      <c r="N33" s="52">
        <v>4200</v>
      </c>
      <c r="O33" s="52">
        <f t="shared" si="36"/>
        <v>-87.58</v>
      </c>
      <c r="P33" s="53">
        <f t="shared" si="37"/>
        <v>0.97914999999999996</v>
      </c>
      <c r="Q33" s="54">
        <v>4047.02</v>
      </c>
      <c r="R33" s="52">
        <v>4200</v>
      </c>
      <c r="S33" s="52">
        <f>ROUND((Q33-R33),5)</f>
        <v>-152.97999999999999</v>
      </c>
      <c r="T33" s="53">
        <f>ROUND(IF(R33=0,IF(Q33=0,0,1),Q33/R33),5)</f>
        <v>0.96357999999999999</v>
      </c>
      <c r="U33" s="54">
        <v>3871.21</v>
      </c>
      <c r="V33" s="52">
        <v>4400.04</v>
      </c>
      <c r="W33" s="52">
        <f>ROUND((U33-V33),5)</f>
        <v>-528.83000000000004</v>
      </c>
      <c r="X33" s="53">
        <f>ROUND(IF(V33=0,IF(U33=0,0,1),U33/V33),5)</f>
        <v>0.87980999999999998</v>
      </c>
      <c r="Y33" s="54">
        <v>3439.25</v>
      </c>
      <c r="Z33" s="52">
        <v>4400.04</v>
      </c>
      <c r="AA33" s="52">
        <f>ROUND((Y33-Z33),5)</f>
        <v>-960.79</v>
      </c>
      <c r="AB33" s="53">
        <f>ROUND(IF(Z33=0,IF(Y33=0,0,1),Y33/Z33),5)</f>
        <v>0.78164</v>
      </c>
      <c r="AC33" s="54">
        <v>3032.5</v>
      </c>
      <c r="AD33" s="52">
        <v>4000</v>
      </c>
      <c r="AE33" s="52">
        <f>ROUND((AC33-AD33),5)</f>
        <v>-967.5</v>
      </c>
      <c r="AF33" s="53">
        <f>ROUND(IF(AD33=0,IF(AC33=0,0,1),AC33/AD33),5)</f>
        <v>0.75812999999999997</v>
      </c>
      <c r="AG33" s="55">
        <f t="shared" si="38"/>
        <v>22737.24</v>
      </c>
      <c r="AH33" s="55">
        <f t="shared" si="38"/>
        <v>24800.080000000002</v>
      </c>
      <c r="AI33" s="55">
        <f t="shared" si="39"/>
        <v>-2062.84</v>
      </c>
      <c r="AJ33" s="56">
        <f t="shared" si="40"/>
        <v>0.91681999999999997</v>
      </c>
      <c r="AK33" s="57">
        <f t="shared" si="0"/>
        <v>3789.5400000000004</v>
      </c>
      <c r="AL33" s="58"/>
      <c r="AM33" s="58">
        <f t="shared" si="1"/>
        <v>4000</v>
      </c>
      <c r="AN33" s="58">
        <f t="shared" si="2"/>
        <v>4266.6933333333336</v>
      </c>
    </row>
    <row r="34" spans="1:40" ht="15.75" customHeight="1" x14ac:dyDescent="0.25">
      <c r="A34" s="32"/>
      <c r="B34" s="32"/>
      <c r="C34" s="32"/>
      <c r="D34" s="32"/>
      <c r="E34" s="32"/>
      <c r="F34" s="32"/>
      <c r="G34" s="32" t="s">
        <v>164</v>
      </c>
      <c r="H34" s="32"/>
      <c r="I34" s="59">
        <v>0</v>
      </c>
      <c r="J34" s="59">
        <v>0</v>
      </c>
      <c r="K34" s="59">
        <f t="shared" si="34"/>
        <v>0</v>
      </c>
      <c r="L34" s="60">
        <f t="shared" si="35"/>
        <v>0</v>
      </c>
      <c r="M34" s="61">
        <v>0</v>
      </c>
      <c r="N34" s="59">
        <v>0</v>
      </c>
      <c r="O34" s="59">
        <f t="shared" si="36"/>
        <v>0</v>
      </c>
      <c r="P34" s="60">
        <f t="shared" si="37"/>
        <v>0</v>
      </c>
      <c r="Q34" s="61">
        <v>0</v>
      </c>
      <c r="R34" s="59"/>
      <c r="S34" s="59"/>
      <c r="T34" s="60"/>
      <c r="U34" s="61">
        <v>0</v>
      </c>
      <c r="V34" s="59"/>
      <c r="W34" s="59"/>
      <c r="X34" s="60"/>
      <c r="Y34" s="61">
        <v>0</v>
      </c>
      <c r="Z34" s="59"/>
      <c r="AA34" s="59"/>
      <c r="AB34" s="60"/>
      <c r="AC34" s="61">
        <v>0</v>
      </c>
      <c r="AD34" s="59"/>
      <c r="AE34" s="59"/>
      <c r="AF34" s="60"/>
      <c r="AG34" s="62">
        <f t="shared" si="38"/>
        <v>0</v>
      </c>
      <c r="AH34" s="62">
        <f t="shared" si="38"/>
        <v>0</v>
      </c>
      <c r="AI34" s="62">
        <f t="shared" si="39"/>
        <v>0</v>
      </c>
      <c r="AJ34" s="63">
        <f t="shared" si="40"/>
        <v>0</v>
      </c>
      <c r="AK34" s="57">
        <f t="shared" si="0"/>
        <v>0</v>
      </c>
      <c r="AL34" s="58"/>
      <c r="AM34" s="58">
        <f t="shared" si="1"/>
        <v>0</v>
      </c>
      <c r="AN34" s="58" t="e">
        <f t="shared" si="2"/>
        <v>#DIV/0!</v>
      </c>
    </row>
    <row r="35" spans="1:40" ht="15" customHeight="1" x14ac:dyDescent="0.25">
      <c r="A35" s="32"/>
      <c r="B35" s="32"/>
      <c r="C35" s="32"/>
      <c r="D35" s="32"/>
      <c r="E35" s="32"/>
      <c r="F35" s="32" t="s">
        <v>47</v>
      </c>
      <c r="G35" s="32"/>
      <c r="H35" s="32"/>
      <c r="I35" s="69">
        <f>ROUND(SUM(I27:I34),5)</f>
        <v>35558.01</v>
      </c>
      <c r="J35" s="69">
        <f>ROUND(SUM(J27:J34),5)</f>
        <v>31710</v>
      </c>
      <c r="K35" s="69">
        <f t="shared" si="34"/>
        <v>3848.01</v>
      </c>
      <c r="L35" s="70">
        <f t="shared" si="35"/>
        <v>1.1213500000000001</v>
      </c>
      <c r="M35" s="71">
        <f>ROUND(SUM(M27:M34),5)</f>
        <v>32747.18</v>
      </c>
      <c r="N35" s="69">
        <f>ROUND(SUM(N27:N34),5)</f>
        <v>36399.96</v>
      </c>
      <c r="O35" s="69">
        <f t="shared" si="36"/>
        <v>-3652.78</v>
      </c>
      <c r="P35" s="70">
        <f t="shared" si="37"/>
        <v>0.89964999999999995</v>
      </c>
      <c r="Q35" s="71">
        <f>ROUND(SUM(Q27:Q34),5)</f>
        <v>31023.26</v>
      </c>
      <c r="R35" s="69">
        <f>ROUND(SUM(R27:R34),5)</f>
        <v>35999.879999999997</v>
      </c>
      <c r="S35" s="69">
        <f>ROUND((Q35-R35),5)</f>
        <v>-4976.62</v>
      </c>
      <c r="T35" s="70">
        <f>ROUND(IF(R35=0,IF(Q35=0,0,1),Q35/R35),5)</f>
        <v>0.86175999999999997</v>
      </c>
      <c r="U35" s="71">
        <f>ROUND(SUM(U27:U34),5)</f>
        <v>34055.019999999997</v>
      </c>
      <c r="V35" s="69">
        <f>ROUND(SUM(V27:V34),5)</f>
        <v>36198.959999999999</v>
      </c>
      <c r="W35" s="69">
        <f>ROUND((U35-V35),5)</f>
        <v>-2143.94</v>
      </c>
      <c r="X35" s="70">
        <f>ROUND(IF(V35=0,IF(U35=0,0,1),U35/V35),5)</f>
        <v>0.94077</v>
      </c>
      <c r="Y35" s="71">
        <f>ROUND(SUM(Y27:Y34),5)</f>
        <v>29661.8</v>
      </c>
      <c r="Z35" s="69">
        <f>ROUND(SUM(Z27:Z34),5)</f>
        <v>32784</v>
      </c>
      <c r="AA35" s="69">
        <f>ROUND((Y35-Z35),5)</f>
        <v>-3122.2</v>
      </c>
      <c r="AB35" s="70">
        <f>ROUND(IF(Z35=0,IF(Y35=0,0,1),Y35/Z35),5)</f>
        <v>0.90476000000000001</v>
      </c>
      <c r="AC35" s="71">
        <f>ROUND(SUM(AC27:AC34),5)</f>
        <v>28055.95</v>
      </c>
      <c r="AD35" s="69">
        <f>ROUND(SUM(AD27:AD34),5)</f>
        <v>32656</v>
      </c>
      <c r="AE35" s="69">
        <f>ROUND((AC35-AD35),5)</f>
        <v>-4600.05</v>
      </c>
      <c r="AF35" s="70">
        <f>ROUND(IF(AD35=0,IF(AC35=0,0,1),AC35/AD35),5)</f>
        <v>0.85914000000000001</v>
      </c>
      <c r="AG35" s="72">
        <f t="shared" si="38"/>
        <v>191101.22</v>
      </c>
      <c r="AH35" s="72">
        <f t="shared" si="38"/>
        <v>205748.8</v>
      </c>
      <c r="AI35" s="72">
        <f t="shared" si="39"/>
        <v>-14647.58</v>
      </c>
      <c r="AJ35" s="73">
        <f t="shared" si="40"/>
        <v>0.92881000000000002</v>
      </c>
      <c r="AK35" s="57">
        <f t="shared" si="0"/>
        <v>31850.203333333335</v>
      </c>
      <c r="AL35" s="58"/>
      <c r="AM35" s="58">
        <f t="shared" si="1"/>
        <v>34703.279999999999</v>
      </c>
      <c r="AN35" s="58">
        <f t="shared" si="2"/>
        <v>33879.653333333328</v>
      </c>
    </row>
    <row r="36" spans="1:40" ht="15" customHeight="1" x14ac:dyDescent="0.25">
      <c r="A36" s="32"/>
      <c r="B36" s="32"/>
      <c r="C36" s="32"/>
      <c r="D36" s="32"/>
      <c r="E36" s="32"/>
      <c r="F36" s="32" t="s">
        <v>48</v>
      </c>
      <c r="G36" s="32"/>
      <c r="H36" s="32"/>
      <c r="I36" s="52"/>
      <c r="J36" s="52"/>
      <c r="K36" s="52"/>
      <c r="L36" s="53"/>
      <c r="M36" s="54"/>
      <c r="N36" s="52"/>
      <c r="O36" s="52"/>
      <c r="P36" s="53"/>
      <c r="Q36" s="54"/>
      <c r="R36" s="52"/>
      <c r="S36" s="52"/>
      <c r="T36" s="53"/>
      <c r="U36" s="54"/>
      <c r="V36" s="52"/>
      <c r="W36" s="52"/>
      <c r="X36" s="53"/>
      <c r="Y36" s="54"/>
      <c r="Z36" s="52"/>
      <c r="AA36" s="52"/>
      <c r="AB36" s="53"/>
      <c r="AC36" s="54"/>
      <c r="AD36" s="52"/>
      <c r="AE36" s="52"/>
      <c r="AF36" s="53"/>
      <c r="AG36" s="55"/>
      <c r="AH36" s="55"/>
      <c r="AI36" s="55"/>
      <c r="AJ36" s="56"/>
      <c r="AK36" s="57" t="e">
        <f t="shared" si="0"/>
        <v>#DIV/0!</v>
      </c>
      <c r="AL36" s="58"/>
      <c r="AM36" s="58" t="e">
        <f t="shared" si="1"/>
        <v>#DIV/0!</v>
      </c>
      <c r="AN36" s="58" t="e">
        <f t="shared" si="2"/>
        <v>#DIV/0!</v>
      </c>
    </row>
    <row r="37" spans="1:40" ht="15" customHeight="1" x14ac:dyDescent="0.25">
      <c r="A37" s="32"/>
      <c r="B37" s="32"/>
      <c r="C37" s="32"/>
      <c r="D37" s="32"/>
      <c r="E37" s="32"/>
      <c r="F37" s="32"/>
      <c r="G37" s="32" t="s">
        <v>49</v>
      </c>
      <c r="H37" s="32"/>
      <c r="I37" s="52">
        <v>0</v>
      </c>
      <c r="J37" s="52">
        <v>199.2</v>
      </c>
      <c r="K37" s="52">
        <f t="shared" ref="K37:K46" si="41">ROUND((I37-J37),5)</f>
        <v>-199.2</v>
      </c>
      <c r="L37" s="53">
        <f t="shared" ref="L37:L46" si="42">ROUND(IF(J37=0,IF(I37=0,0,1),I37/J37),5)</f>
        <v>0</v>
      </c>
      <c r="M37" s="54">
        <v>0</v>
      </c>
      <c r="N37" s="52">
        <v>200.04</v>
      </c>
      <c r="O37" s="52">
        <f t="shared" ref="O37:O46" si="43">ROUND((M37-N37),5)</f>
        <v>-200.04</v>
      </c>
      <c r="P37" s="53">
        <f t="shared" ref="P37:P46" si="44">ROUND(IF(N37=0,IF(M37=0,0,1),M37/N37),5)</f>
        <v>0</v>
      </c>
      <c r="Q37" s="54">
        <v>219</v>
      </c>
      <c r="R37" s="52">
        <v>200.04</v>
      </c>
      <c r="S37" s="52">
        <f t="shared" ref="S37:S46" si="45">ROUND((Q37-R37),5)</f>
        <v>18.96</v>
      </c>
      <c r="T37" s="53">
        <f t="shared" ref="T37:T46" si="46">ROUND(IF(R37=0,IF(Q37=0,0,1),Q37/R37),5)</f>
        <v>1.0947800000000001</v>
      </c>
      <c r="U37" s="54">
        <v>141.9</v>
      </c>
      <c r="V37" s="52">
        <v>200.04</v>
      </c>
      <c r="W37" s="52">
        <f t="shared" ref="W37:W46" si="47">ROUND((U37-V37),5)</f>
        <v>-58.14</v>
      </c>
      <c r="X37" s="53">
        <f t="shared" ref="X37:X46" si="48">ROUND(IF(V37=0,IF(U37=0,0,1),U37/V37),5)</f>
        <v>0.70935999999999999</v>
      </c>
      <c r="Y37" s="54">
        <v>55</v>
      </c>
      <c r="Z37" s="52">
        <v>200.04</v>
      </c>
      <c r="AA37" s="52">
        <f t="shared" ref="AA37:AA43" si="49">ROUND((Y37-Z37),5)</f>
        <v>-145.04</v>
      </c>
      <c r="AB37" s="53">
        <f t="shared" ref="AB37:AB43" si="50">ROUND(IF(Z37=0,IF(Y37=0,0,1),Y37/Z37),5)</f>
        <v>0.27495000000000003</v>
      </c>
      <c r="AC37" s="54">
        <v>0</v>
      </c>
      <c r="AD37" s="52">
        <v>150</v>
      </c>
      <c r="AE37" s="52">
        <f t="shared" ref="AE37:AE43" si="51">ROUND((AC37-AD37),5)</f>
        <v>-150</v>
      </c>
      <c r="AF37" s="53">
        <f t="shared" ref="AF37:AF43" si="52">ROUND(IF(AD37=0,IF(AC37=0,0,1),AC37/AD37),5)</f>
        <v>0</v>
      </c>
      <c r="AG37" s="55">
        <f t="shared" ref="AG37:AG46" si="53">ROUND(I37+M37+Q37+U37+Y37+AC37,5)</f>
        <v>415.9</v>
      </c>
      <c r="AH37" s="55">
        <f t="shared" ref="AH37:AH46" si="54">ROUND(J37+N37+R37+V37+Z37+AD37,5)</f>
        <v>1149.3599999999999</v>
      </c>
      <c r="AI37" s="55">
        <f t="shared" ref="AI37:AI46" si="55">ROUND((AG37-AH37),5)</f>
        <v>-733.46</v>
      </c>
      <c r="AJ37" s="56">
        <f t="shared" ref="AJ37:AJ46" si="56">ROUND(IF(AH37=0,IF(AG37=0,0,1),AG37/AH37),5)</f>
        <v>0.36185</v>
      </c>
      <c r="AK37" s="57">
        <f t="shared" si="0"/>
        <v>69.316666666666663</v>
      </c>
      <c r="AL37" s="58"/>
      <c r="AM37" s="58">
        <f t="shared" ref="AM37:AM68" si="57">AVERAGE(J37,N37,R37)</f>
        <v>199.76</v>
      </c>
      <c r="AN37" s="58">
        <f t="shared" ref="AN37:AN68" si="58">AVERAGE(V37,Z37,AD37)</f>
        <v>183.35999999999999</v>
      </c>
    </row>
    <row r="38" spans="1:40" ht="15" customHeight="1" x14ac:dyDescent="0.25">
      <c r="A38" s="32"/>
      <c r="B38" s="32"/>
      <c r="C38" s="32"/>
      <c r="D38" s="32"/>
      <c r="E38" s="32"/>
      <c r="F38" s="32"/>
      <c r="G38" s="32" t="s">
        <v>165</v>
      </c>
      <c r="H38" s="32"/>
      <c r="I38" s="52">
        <v>299.63</v>
      </c>
      <c r="J38" s="52">
        <v>499.92</v>
      </c>
      <c r="K38" s="52">
        <f t="shared" si="41"/>
        <v>-200.29</v>
      </c>
      <c r="L38" s="53">
        <f t="shared" si="42"/>
        <v>0.59936</v>
      </c>
      <c r="M38" s="54">
        <v>562.5</v>
      </c>
      <c r="N38" s="52">
        <v>500.04</v>
      </c>
      <c r="O38" s="52">
        <f t="shared" si="43"/>
        <v>62.46</v>
      </c>
      <c r="P38" s="53">
        <f t="shared" si="44"/>
        <v>1.1249100000000001</v>
      </c>
      <c r="Q38" s="54">
        <v>111.12</v>
      </c>
      <c r="R38" s="52">
        <v>500.04</v>
      </c>
      <c r="S38" s="52">
        <f t="shared" si="45"/>
        <v>-388.92</v>
      </c>
      <c r="T38" s="53">
        <f t="shared" si="46"/>
        <v>0.22222</v>
      </c>
      <c r="U38" s="54">
        <v>0</v>
      </c>
      <c r="V38" s="52">
        <v>500.04</v>
      </c>
      <c r="W38" s="52">
        <f t="shared" si="47"/>
        <v>-500.04</v>
      </c>
      <c r="X38" s="53">
        <f t="shared" si="48"/>
        <v>0</v>
      </c>
      <c r="Y38" s="54">
        <v>0</v>
      </c>
      <c r="Z38" s="52">
        <v>500.04</v>
      </c>
      <c r="AA38" s="52">
        <f t="shared" si="49"/>
        <v>-500.04</v>
      </c>
      <c r="AB38" s="53">
        <f t="shared" si="50"/>
        <v>0</v>
      </c>
      <c r="AC38" s="54">
        <v>0</v>
      </c>
      <c r="AD38" s="52">
        <v>0</v>
      </c>
      <c r="AE38" s="52">
        <f t="shared" si="51"/>
        <v>0</v>
      </c>
      <c r="AF38" s="53">
        <f t="shared" si="52"/>
        <v>0</v>
      </c>
      <c r="AG38" s="55">
        <f t="shared" si="53"/>
        <v>973.25</v>
      </c>
      <c r="AH38" s="55">
        <f t="shared" si="54"/>
        <v>2500.08</v>
      </c>
      <c r="AI38" s="55">
        <f t="shared" si="55"/>
        <v>-1526.83</v>
      </c>
      <c r="AJ38" s="56">
        <f t="shared" si="56"/>
        <v>0.38929000000000002</v>
      </c>
      <c r="AK38" s="57">
        <f t="shared" si="0"/>
        <v>162.20833333333334</v>
      </c>
      <c r="AL38" s="58"/>
      <c r="AM38" s="58">
        <f t="shared" si="57"/>
        <v>500</v>
      </c>
      <c r="AN38" s="58">
        <f t="shared" si="58"/>
        <v>333.36</v>
      </c>
    </row>
    <row r="39" spans="1:40" ht="15" customHeight="1" x14ac:dyDescent="0.25">
      <c r="A39" s="32"/>
      <c r="B39" s="32"/>
      <c r="C39" s="32"/>
      <c r="D39" s="32"/>
      <c r="E39" s="32"/>
      <c r="F39" s="32"/>
      <c r="G39" s="32" t="s">
        <v>51</v>
      </c>
      <c r="H39" s="32"/>
      <c r="I39" s="52">
        <v>1097.28</v>
      </c>
      <c r="J39" s="52">
        <v>799.92</v>
      </c>
      <c r="K39" s="52">
        <f t="shared" si="41"/>
        <v>297.36</v>
      </c>
      <c r="L39" s="53">
        <f t="shared" si="42"/>
        <v>1.37174</v>
      </c>
      <c r="M39" s="54">
        <v>1336.79</v>
      </c>
      <c r="N39" s="52">
        <v>800.04</v>
      </c>
      <c r="O39" s="52">
        <f t="shared" si="43"/>
        <v>536.75</v>
      </c>
      <c r="P39" s="53">
        <f t="shared" si="44"/>
        <v>1.6709000000000001</v>
      </c>
      <c r="Q39" s="54">
        <v>1855.72</v>
      </c>
      <c r="R39" s="52">
        <v>1599.96</v>
      </c>
      <c r="S39" s="52">
        <f t="shared" si="45"/>
        <v>255.76</v>
      </c>
      <c r="T39" s="53">
        <f t="shared" si="46"/>
        <v>1.15985</v>
      </c>
      <c r="U39" s="54">
        <v>1145.46</v>
      </c>
      <c r="V39" s="52">
        <v>1599.96</v>
      </c>
      <c r="W39" s="52">
        <f t="shared" si="47"/>
        <v>-454.5</v>
      </c>
      <c r="X39" s="53">
        <f t="shared" si="48"/>
        <v>0.71592999999999996</v>
      </c>
      <c r="Y39" s="54">
        <v>819.64</v>
      </c>
      <c r="Z39" s="52">
        <v>1599.96</v>
      </c>
      <c r="AA39" s="52">
        <f t="shared" si="49"/>
        <v>-780.32</v>
      </c>
      <c r="AB39" s="53">
        <f t="shared" si="50"/>
        <v>0.51229000000000002</v>
      </c>
      <c r="AC39" s="54">
        <v>1045.53</v>
      </c>
      <c r="AD39" s="52">
        <v>840</v>
      </c>
      <c r="AE39" s="52">
        <f t="shared" si="51"/>
        <v>205.53</v>
      </c>
      <c r="AF39" s="53">
        <f t="shared" si="52"/>
        <v>1.24468</v>
      </c>
      <c r="AG39" s="55">
        <f t="shared" si="53"/>
        <v>7300.42</v>
      </c>
      <c r="AH39" s="55">
        <f t="shared" si="54"/>
        <v>7239.84</v>
      </c>
      <c r="AI39" s="55">
        <f t="shared" si="55"/>
        <v>60.58</v>
      </c>
      <c r="AJ39" s="56">
        <f t="shared" si="56"/>
        <v>1.00837</v>
      </c>
      <c r="AK39" s="57">
        <f t="shared" si="0"/>
        <v>1216.7366666666667</v>
      </c>
      <c r="AL39" s="58"/>
      <c r="AM39" s="58">
        <f t="shared" si="57"/>
        <v>1066.6400000000001</v>
      </c>
      <c r="AN39" s="58">
        <f t="shared" si="58"/>
        <v>1346.64</v>
      </c>
    </row>
    <row r="40" spans="1:40" ht="15" customHeight="1" x14ac:dyDescent="0.25">
      <c r="A40" s="32"/>
      <c r="B40" s="32"/>
      <c r="C40" s="32"/>
      <c r="D40" s="32"/>
      <c r="E40" s="32"/>
      <c r="F40" s="32"/>
      <c r="G40" s="32" t="s">
        <v>53</v>
      </c>
      <c r="H40" s="32"/>
      <c r="I40" s="52">
        <v>249.4</v>
      </c>
      <c r="J40" s="52">
        <v>249.96</v>
      </c>
      <c r="K40" s="52">
        <f t="shared" si="41"/>
        <v>-0.56000000000000005</v>
      </c>
      <c r="L40" s="53">
        <f t="shared" si="42"/>
        <v>0.99775999999999998</v>
      </c>
      <c r="M40" s="54">
        <v>360.4</v>
      </c>
      <c r="N40" s="52">
        <v>249.96</v>
      </c>
      <c r="O40" s="52">
        <f t="shared" si="43"/>
        <v>110.44</v>
      </c>
      <c r="P40" s="53">
        <f t="shared" si="44"/>
        <v>1.4418299999999999</v>
      </c>
      <c r="Q40" s="54">
        <v>326.33</v>
      </c>
      <c r="R40" s="52">
        <v>0</v>
      </c>
      <c r="S40" s="52">
        <f t="shared" si="45"/>
        <v>326.33</v>
      </c>
      <c r="T40" s="53">
        <f t="shared" si="46"/>
        <v>1</v>
      </c>
      <c r="U40" s="54">
        <v>32.340000000000003</v>
      </c>
      <c r="V40" s="52">
        <v>350.04</v>
      </c>
      <c r="W40" s="52">
        <f t="shared" si="47"/>
        <v>-317.7</v>
      </c>
      <c r="X40" s="53">
        <f t="shared" si="48"/>
        <v>9.239E-2</v>
      </c>
      <c r="Y40" s="54">
        <v>170.31</v>
      </c>
      <c r="Z40" s="52">
        <v>350.04</v>
      </c>
      <c r="AA40" s="52">
        <f t="shared" si="49"/>
        <v>-179.73</v>
      </c>
      <c r="AB40" s="53">
        <f t="shared" si="50"/>
        <v>0.48653999999999997</v>
      </c>
      <c r="AC40" s="54">
        <v>135.68</v>
      </c>
      <c r="AD40" s="52">
        <v>100</v>
      </c>
      <c r="AE40" s="52">
        <f t="shared" si="51"/>
        <v>35.68</v>
      </c>
      <c r="AF40" s="53">
        <f t="shared" si="52"/>
        <v>1.3568</v>
      </c>
      <c r="AG40" s="55">
        <f t="shared" si="53"/>
        <v>1274.46</v>
      </c>
      <c r="AH40" s="55">
        <f t="shared" si="54"/>
        <v>1300</v>
      </c>
      <c r="AI40" s="55">
        <f t="shared" si="55"/>
        <v>-25.54</v>
      </c>
      <c r="AJ40" s="56">
        <f t="shared" si="56"/>
        <v>0.98035000000000005</v>
      </c>
      <c r="AK40" s="57">
        <f t="shared" si="0"/>
        <v>212.41</v>
      </c>
      <c r="AL40" s="58"/>
      <c r="AM40" s="58">
        <f t="shared" si="57"/>
        <v>166.64000000000001</v>
      </c>
      <c r="AN40" s="58">
        <f t="shared" si="58"/>
        <v>266.69333333333333</v>
      </c>
    </row>
    <row r="41" spans="1:40" ht="15" customHeight="1" x14ac:dyDescent="0.25">
      <c r="A41" s="32"/>
      <c r="B41" s="32"/>
      <c r="C41" s="32"/>
      <c r="D41" s="32"/>
      <c r="E41" s="32"/>
      <c r="F41" s="32"/>
      <c r="G41" s="32" t="s">
        <v>55</v>
      </c>
      <c r="H41" s="32"/>
      <c r="I41" s="52">
        <v>1060</v>
      </c>
      <c r="J41" s="52">
        <v>999.96</v>
      </c>
      <c r="K41" s="52">
        <f t="shared" si="41"/>
        <v>60.04</v>
      </c>
      <c r="L41" s="53">
        <f t="shared" si="42"/>
        <v>1.0600400000000001</v>
      </c>
      <c r="M41" s="54">
        <v>28.99</v>
      </c>
      <c r="N41" s="52">
        <v>999.96</v>
      </c>
      <c r="O41" s="52">
        <f t="shared" si="43"/>
        <v>-970.97</v>
      </c>
      <c r="P41" s="53">
        <f t="shared" si="44"/>
        <v>2.8989999999999998E-2</v>
      </c>
      <c r="Q41" s="54">
        <v>0</v>
      </c>
      <c r="R41" s="52">
        <v>0</v>
      </c>
      <c r="S41" s="52">
        <f t="shared" si="45"/>
        <v>0</v>
      </c>
      <c r="T41" s="53">
        <f t="shared" si="46"/>
        <v>0</v>
      </c>
      <c r="U41" s="54">
        <v>0</v>
      </c>
      <c r="V41" s="52">
        <v>999.96</v>
      </c>
      <c r="W41" s="52">
        <f t="shared" si="47"/>
        <v>-999.96</v>
      </c>
      <c r="X41" s="53">
        <f t="shared" si="48"/>
        <v>0</v>
      </c>
      <c r="Y41" s="54">
        <v>329.99</v>
      </c>
      <c r="Z41" s="52">
        <v>999.96</v>
      </c>
      <c r="AA41" s="52">
        <f t="shared" si="49"/>
        <v>-669.97</v>
      </c>
      <c r="AB41" s="53">
        <f t="shared" si="50"/>
        <v>0.33</v>
      </c>
      <c r="AC41" s="54">
        <v>0</v>
      </c>
      <c r="AD41" s="52">
        <v>0</v>
      </c>
      <c r="AE41" s="52">
        <f t="shared" si="51"/>
        <v>0</v>
      </c>
      <c r="AF41" s="53">
        <f t="shared" si="52"/>
        <v>0</v>
      </c>
      <c r="AG41" s="55">
        <f t="shared" si="53"/>
        <v>1418.98</v>
      </c>
      <c r="AH41" s="55">
        <f t="shared" si="54"/>
        <v>3999.84</v>
      </c>
      <c r="AI41" s="55">
        <f t="shared" si="55"/>
        <v>-2580.86</v>
      </c>
      <c r="AJ41" s="56">
        <f t="shared" si="56"/>
        <v>0.35476000000000002</v>
      </c>
      <c r="AK41" s="57">
        <f t="shared" si="0"/>
        <v>236.49666666666667</v>
      </c>
      <c r="AL41" s="58"/>
      <c r="AM41" s="58">
        <f t="shared" si="57"/>
        <v>666.64</v>
      </c>
      <c r="AN41" s="58">
        <f t="shared" si="58"/>
        <v>666.64</v>
      </c>
    </row>
    <row r="42" spans="1:40" ht="15" customHeight="1" x14ac:dyDescent="0.25">
      <c r="A42" s="32"/>
      <c r="B42" s="32"/>
      <c r="C42" s="32"/>
      <c r="D42" s="32"/>
      <c r="E42" s="32"/>
      <c r="F42" s="32"/>
      <c r="G42" s="32" t="s">
        <v>57</v>
      </c>
      <c r="H42" s="32"/>
      <c r="I42" s="59">
        <v>2467.61</v>
      </c>
      <c r="J42" s="59">
        <v>1999.92</v>
      </c>
      <c r="K42" s="59">
        <f t="shared" si="41"/>
        <v>467.69</v>
      </c>
      <c r="L42" s="60">
        <f t="shared" si="42"/>
        <v>1.2338499999999999</v>
      </c>
      <c r="M42" s="61">
        <v>1697.39</v>
      </c>
      <c r="N42" s="59">
        <v>2000.04</v>
      </c>
      <c r="O42" s="59">
        <f t="shared" si="43"/>
        <v>-302.64999999999998</v>
      </c>
      <c r="P42" s="60">
        <f t="shared" si="44"/>
        <v>0.84867999999999999</v>
      </c>
      <c r="Q42" s="61">
        <v>2208.61</v>
      </c>
      <c r="R42" s="59">
        <v>2499.96</v>
      </c>
      <c r="S42" s="59">
        <f t="shared" si="45"/>
        <v>-291.35000000000002</v>
      </c>
      <c r="T42" s="60">
        <f t="shared" si="46"/>
        <v>0.88346000000000002</v>
      </c>
      <c r="U42" s="61">
        <v>2569.14</v>
      </c>
      <c r="V42" s="59">
        <v>2499.96</v>
      </c>
      <c r="W42" s="59">
        <f t="shared" si="47"/>
        <v>69.180000000000007</v>
      </c>
      <c r="X42" s="60">
        <f t="shared" si="48"/>
        <v>1.0276700000000001</v>
      </c>
      <c r="Y42" s="61">
        <v>880.5</v>
      </c>
      <c r="Z42" s="59">
        <v>3000</v>
      </c>
      <c r="AA42" s="59">
        <f t="shared" si="49"/>
        <v>-2119.5</v>
      </c>
      <c r="AB42" s="60">
        <f t="shared" si="50"/>
        <v>0.29349999999999998</v>
      </c>
      <c r="AC42" s="61">
        <v>1278.3499999999999</v>
      </c>
      <c r="AD42" s="59">
        <v>2000</v>
      </c>
      <c r="AE42" s="59">
        <f t="shared" si="51"/>
        <v>-721.65</v>
      </c>
      <c r="AF42" s="60">
        <f t="shared" si="52"/>
        <v>0.63917999999999997</v>
      </c>
      <c r="AG42" s="62">
        <f t="shared" si="53"/>
        <v>11101.6</v>
      </c>
      <c r="AH42" s="62">
        <f t="shared" si="54"/>
        <v>13999.88</v>
      </c>
      <c r="AI42" s="62">
        <f t="shared" si="55"/>
        <v>-2898.28</v>
      </c>
      <c r="AJ42" s="63">
        <f t="shared" si="56"/>
        <v>0.79298000000000002</v>
      </c>
      <c r="AK42" s="57">
        <f t="shared" si="0"/>
        <v>1850.2666666666667</v>
      </c>
      <c r="AL42" s="58"/>
      <c r="AM42" s="58">
        <f t="shared" si="57"/>
        <v>2166.64</v>
      </c>
      <c r="AN42" s="58">
        <f t="shared" si="58"/>
        <v>2499.9866666666667</v>
      </c>
    </row>
    <row r="43" spans="1:40" ht="15" customHeight="1" x14ac:dyDescent="0.25">
      <c r="A43" s="32"/>
      <c r="B43" s="32"/>
      <c r="C43" s="32"/>
      <c r="D43" s="32"/>
      <c r="E43" s="32"/>
      <c r="F43" s="32" t="s">
        <v>59</v>
      </c>
      <c r="G43" s="32"/>
      <c r="H43" s="32"/>
      <c r="I43" s="69">
        <f>ROUND(SUM(I36:I42),5)</f>
        <v>5173.92</v>
      </c>
      <c r="J43" s="69">
        <f>ROUND(SUM(J36:J42),5)</f>
        <v>4748.88</v>
      </c>
      <c r="K43" s="69">
        <f t="shared" si="41"/>
        <v>425.04</v>
      </c>
      <c r="L43" s="70">
        <f t="shared" si="42"/>
        <v>1.0894999999999999</v>
      </c>
      <c r="M43" s="71">
        <f>ROUND(SUM(M36:M42),5)</f>
        <v>3986.07</v>
      </c>
      <c r="N43" s="69">
        <f>ROUND(SUM(N36:N42),5)</f>
        <v>4750.08</v>
      </c>
      <c r="O43" s="69">
        <f t="shared" si="43"/>
        <v>-764.01</v>
      </c>
      <c r="P43" s="70">
        <f t="shared" si="44"/>
        <v>0.83916000000000002</v>
      </c>
      <c r="Q43" s="71">
        <f>ROUND(SUM(Q36:Q42),5)</f>
        <v>4720.78</v>
      </c>
      <c r="R43" s="69">
        <f>ROUND(SUM(R36:R42),5)</f>
        <v>4800</v>
      </c>
      <c r="S43" s="69">
        <f t="shared" si="45"/>
        <v>-79.22</v>
      </c>
      <c r="T43" s="70">
        <f t="shared" si="46"/>
        <v>0.98350000000000004</v>
      </c>
      <c r="U43" s="71">
        <f>ROUND(SUM(U36:U42),5)</f>
        <v>3888.84</v>
      </c>
      <c r="V43" s="69">
        <f>ROUND(SUM(V36:V42),5)</f>
        <v>6150</v>
      </c>
      <c r="W43" s="69">
        <f t="shared" si="47"/>
        <v>-2261.16</v>
      </c>
      <c r="X43" s="70">
        <f t="shared" si="48"/>
        <v>0.63232999999999995</v>
      </c>
      <c r="Y43" s="71">
        <f>ROUND(SUM(Y36:Y42),5)</f>
        <v>2255.44</v>
      </c>
      <c r="Z43" s="69">
        <f>ROUND(SUM(Z36:Z42),5)</f>
        <v>6650.04</v>
      </c>
      <c r="AA43" s="69">
        <f t="shared" si="49"/>
        <v>-4394.6000000000004</v>
      </c>
      <c r="AB43" s="70">
        <f t="shared" si="50"/>
        <v>0.33916000000000002</v>
      </c>
      <c r="AC43" s="71">
        <f>ROUND(SUM(AC36:AC42),5)</f>
        <v>2459.56</v>
      </c>
      <c r="AD43" s="69">
        <f>ROUND(SUM(AD36:AD42),5)</f>
        <v>3090</v>
      </c>
      <c r="AE43" s="69">
        <f t="shared" si="51"/>
        <v>-630.44000000000005</v>
      </c>
      <c r="AF43" s="70">
        <f t="shared" si="52"/>
        <v>0.79596999999999996</v>
      </c>
      <c r="AG43" s="72">
        <f t="shared" si="53"/>
        <v>22484.61</v>
      </c>
      <c r="AH43" s="72">
        <f t="shared" si="54"/>
        <v>30189</v>
      </c>
      <c r="AI43" s="72">
        <f t="shared" si="55"/>
        <v>-7704.39</v>
      </c>
      <c r="AJ43" s="73">
        <f t="shared" si="56"/>
        <v>0.74478999999999995</v>
      </c>
      <c r="AK43" s="57">
        <f t="shared" si="0"/>
        <v>3747.4349999999999</v>
      </c>
      <c r="AL43" s="58"/>
      <c r="AM43" s="58">
        <f t="shared" si="57"/>
        <v>4766.32</v>
      </c>
      <c r="AN43" s="58">
        <f t="shared" si="58"/>
        <v>5296.68</v>
      </c>
    </row>
    <row r="44" spans="1:40" ht="15.75" customHeight="1" x14ac:dyDescent="0.25">
      <c r="A44" s="32"/>
      <c r="B44" s="32"/>
      <c r="C44" s="32"/>
      <c r="D44" s="32"/>
      <c r="E44" s="32"/>
      <c r="F44" s="32" t="s">
        <v>166</v>
      </c>
      <c r="G44" s="32"/>
      <c r="H44" s="32"/>
      <c r="I44" s="59">
        <v>0</v>
      </c>
      <c r="J44" s="59">
        <v>29.39</v>
      </c>
      <c r="K44" s="59">
        <f t="shared" si="41"/>
        <v>-29.39</v>
      </c>
      <c r="L44" s="60">
        <f t="shared" si="42"/>
        <v>0</v>
      </c>
      <c r="M44" s="61">
        <v>36.51</v>
      </c>
      <c r="N44" s="59">
        <v>0</v>
      </c>
      <c r="O44" s="59">
        <f t="shared" si="43"/>
        <v>36.51</v>
      </c>
      <c r="P44" s="60">
        <f t="shared" si="44"/>
        <v>1</v>
      </c>
      <c r="Q44" s="61">
        <v>20.92</v>
      </c>
      <c r="R44" s="59">
        <v>0</v>
      </c>
      <c r="S44" s="59">
        <f t="shared" si="45"/>
        <v>20.92</v>
      </c>
      <c r="T44" s="60">
        <f t="shared" si="46"/>
        <v>1</v>
      </c>
      <c r="U44" s="61">
        <v>0</v>
      </c>
      <c r="V44" s="59">
        <v>0</v>
      </c>
      <c r="W44" s="59">
        <f t="shared" si="47"/>
        <v>0</v>
      </c>
      <c r="X44" s="60">
        <f t="shared" si="48"/>
        <v>0</v>
      </c>
      <c r="Y44" s="61">
        <v>0</v>
      </c>
      <c r="Z44" s="59"/>
      <c r="AA44" s="59"/>
      <c r="AB44" s="60"/>
      <c r="AC44" s="61">
        <v>213.86</v>
      </c>
      <c r="AD44" s="59"/>
      <c r="AE44" s="59"/>
      <c r="AF44" s="60"/>
      <c r="AG44" s="62">
        <f t="shared" si="53"/>
        <v>271.29000000000002</v>
      </c>
      <c r="AH44" s="62">
        <f t="shared" si="54"/>
        <v>29.39</v>
      </c>
      <c r="AI44" s="62">
        <f t="shared" si="55"/>
        <v>241.9</v>
      </c>
      <c r="AJ44" s="63">
        <f t="shared" si="56"/>
        <v>9.2306899999999992</v>
      </c>
      <c r="AK44" s="57">
        <f t="shared" si="0"/>
        <v>45.215000000000003</v>
      </c>
      <c r="AL44" s="58"/>
      <c r="AM44" s="58">
        <f t="shared" si="57"/>
        <v>9.7966666666666669</v>
      </c>
      <c r="AN44" s="58">
        <f t="shared" si="58"/>
        <v>0</v>
      </c>
    </row>
    <row r="45" spans="1:40" ht="15" customHeight="1" x14ac:dyDescent="0.25">
      <c r="A45" s="32"/>
      <c r="B45" s="32"/>
      <c r="C45" s="32"/>
      <c r="D45" s="32"/>
      <c r="E45" s="32" t="s">
        <v>60</v>
      </c>
      <c r="F45" s="32"/>
      <c r="G45" s="32"/>
      <c r="H45" s="32"/>
      <c r="I45" s="69">
        <f>ROUND(I18+I26+I35+SUM(I43:I44),5)</f>
        <v>46406</v>
      </c>
      <c r="J45" s="69">
        <f>ROUND(J18+J26+J35+SUM(J43:J44),5)</f>
        <v>44208.47</v>
      </c>
      <c r="K45" s="69">
        <f t="shared" si="41"/>
        <v>2197.5300000000002</v>
      </c>
      <c r="L45" s="70">
        <f t="shared" si="42"/>
        <v>1.0497099999999999</v>
      </c>
      <c r="M45" s="71">
        <f>ROUND(M18+M26+M35+SUM(M43:M44),5)</f>
        <v>42321.75</v>
      </c>
      <c r="N45" s="69">
        <f>ROUND(N18+N26+N35+SUM(N43:N44),5)</f>
        <v>55080.12</v>
      </c>
      <c r="O45" s="69">
        <f t="shared" si="43"/>
        <v>-12758.37</v>
      </c>
      <c r="P45" s="70">
        <f t="shared" si="44"/>
        <v>0.76837</v>
      </c>
      <c r="Q45" s="71">
        <f>ROUND(Q18+Q26+Q35+SUM(Q43:Q44),5)</f>
        <v>42615.7</v>
      </c>
      <c r="R45" s="69">
        <f>ROUND(R18+R26+R35+SUM(R43:R44),5)</f>
        <v>47979.96</v>
      </c>
      <c r="S45" s="69">
        <f t="shared" si="45"/>
        <v>-5364.26</v>
      </c>
      <c r="T45" s="70">
        <f t="shared" si="46"/>
        <v>0.88819999999999999</v>
      </c>
      <c r="U45" s="71">
        <f>ROUND(U18+U26+U35+SUM(U43:U44),5)</f>
        <v>44240.34</v>
      </c>
      <c r="V45" s="69">
        <f>ROUND(V18+V26+V35+SUM(V43:V44),5)</f>
        <v>51138.96</v>
      </c>
      <c r="W45" s="69">
        <f t="shared" si="47"/>
        <v>-6898.62</v>
      </c>
      <c r="X45" s="70">
        <f t="shared" si="48"/>
        <v>0.86509999999999998</v>
      </c>
      <c r="Y45" s="71">
        <f>ROUND(Y18+Y26+Y35+SUM(Y43:Y44),5)</f>
        <v>40659.33</v>
      </c>
      <c r="Z45" s="69">
        <f>ROUND(Z18+Z26+Z35+SUM(Z43:Z44),5)</f>
        <v>46538.04</v>
      </c>
      <c r="AA45" s="69">
        <f>ROUND((Y45-Z45),5)</f>
        <v>-5878.71</v>
      </c>
      <c r="AB45" s="70">
        <f>ROUND(IF(Z45=0,IF(Y45=0,0,1),Y45/Z45),5)</f>
        <v>0.87368000000000001</v>
      </c>
      <c r="AC45" s="71">
        <f>ROUND(AC18+AC26+AC35+SUM(AC43:AC44),5)</f>
        <v>36984.800000000003</v>
      </c>
      <c r="AD45" s="69">
        <f>ROUND(AD18+AD26+AD35+SUM(AD43:AD44),5)</f>
        <v>42856</v>
      </c>
      <c r="AE45" s="69">
        <f>ROUND((AC45-AD45),5)</f>
        <v>-5871.2</v>
      </c>
      <c r="AF45" s="70">
        <f>ROUND(IF(AD45=0,IF(AC45=0,0,1),AC45/AD45),5)</f>
        <v>0.86299999999999999</v>
      </c>
      <c r="AG45" s="72">
        <f t="shared" si="53"/>
        <v>253227.92</v>
      </c>
      <c r="AH45" s="72">
        <f t="shared" si="54"/>
        <v>287801.55</v>
      </c>
      <c r="AI45" s="72">
        <f t="shared" si="55"/>
        <v>-34573.629999999997</v>
      </c>
      <c r="AJ45" s="73">
        <f t="shared" si="56"/>
        <v>0.87987000000000004</v>
      </c>
      <c r="AK45" s="57">
        <f t="shared" si="0"/>
        <v>42204.653333333328</v>
      </c>
      <c r="AL45" s="58"/>
      <c r="AM45" s="58">
        <f t="shared" si="57"/>
        <v>49089.516666666663</v>
      </c>
      <c r="AN45" s="58">
        <f t="shared" si="58"/>
        <v>46844.333333333336</v>
      </c>
    </row>
    <row r="46" spans="1:40" ht="15" customHeight="1" x14ac:dyDescent="0.25">
      <c r="A46" s="32"/>
      <c r="B46" s="32"/>
      <c r="C46" s="32"/>
      <c r="D46" s="32"/>
      <c r="E46" s="32" t="s">
        <v>61</v>
      </c>
      <c r="F46" s="32"/>
      <c r="G46" s="32"/>
      <c r="H46" s="32"/>
      <c r="I46" s="52">
        <v>0</v>
      </c>
      <c r="J46" s="52">
        <v>2500</v>
      </c>
      <c r="K46" s="52">
        <f t="shared" si="41"/>
        <v>-2500</v>
      </c>
      <c r="L46" s="53">
        <f t="shared" si="42"/>
        <v>0</v>
      </c>
      <c r="M46" s="54">
        <v>0</v>
      </c>
      <c r="N46" s="52">
        <v>2499.96</v>
      </c>
      <c r="O46" s="52">
        <f t="shared" si="43"/>
        <v>-2499.96</v>
      </c>
      <c r="P46" s="53">
        <f t="shared" si="44"/>
        <v>0</v>
      </c>
      <c r="Q46" s="54">
        <v>0</v>
      </c>
      <c r="R46" s="52">
        <v>999.96</v>
      </c>
      <c r="S46" s="52">
        <f t="shared" si="45"/>
        <v>-999.96</v>
      </c>
      <c r="T46" s="53">
        <f t="shared" si="46"/>
        <v>0</v>
      </c>
      <c r="U46" s="54">
        <v>0</v>
      </c>
      <c r="V46" s="52">
        <v>999.96</v>
      </c>
      <c r="W46" s="52">
        <f t="shared" si="47"/>
        <v>-999.96</v>
      </c>
      <c r="X46" s="53">
        <f t="shared" si="48"/>
        <v>0</v>
      </c>
      <c r="Y46" s="54">
        <v>0</v>
      </c>
      <c r="Z46" s="52">
        <v>999.96</v>
      </c>
      <c r="AA46" s="52">
        <f>ROUND((Y46-Z46),5)</f>
        <v>-999.96</v>
      </c>
      <c r="AB46" s="53">
        <f>ROUND(IF(Z46=0,IF(Y46=0,0,1),Y46/Z46),5)</f>
        <v>0</v>
      </c>
      <c r="AC46" s="54">
        <v>0</v>
      </c>
      <c r="AD46" s="52">
        <v>0</v>
      </c>
      <c r="AE46" s="52">
        <f>ROUND((AC46-AD46),5)</f>
        <v>0</v>
      </c>
      <c r="AF46" s="53">
        <f>ROUND(IF(AD46=0,IF(AC46=0,0,1),AC46/AD46),5)</f>
        <v>0</v>
      </c>
      <c r="AG46" s="55">
        <f t="shared" si="53"/>
        <v>0</v>
      </c>
      <c r="AH46" s="55">
        <f t="shared" si="54"/>
        <v>7999.84</v>
      </c>
      <c r="AI46" s="55">
        <f t="shared" si="55"/>
        <v>-7999.84</v>
      </c>
      <c r="AJ46" s="56">
        <f t="shared" si="56"/>
        <v>0</v>
      </c>
      <c r="AK46" s="57">
        <f t="shared" si="0"/>
        <v>0</v>
      </c>
      <c r="AL46" s="58"/>
      <c r="AM46" s="58">
        <f t="shared" si="57"/>
        <v>1999.9733333333334</v>
      </c>
      <c r="AN46" s="58">
        <f t="shared" si="58"/>
        <v>666.64</v>
      </c>
    </row>
    <row r="47" spans="1:40" ht="15" customHeight="1" x14ac:dyDescent="0.25">
      <c r="A47" s="32"/>
      <c r="B47" s="32"/>
      <c r="C47" s="32"/>
      <c r="D47" s="32"/>
      <c r="E47" s="32" t="s">
        <v>62</v>
      </c>
      <c r="F47" s="32"/>
      <c r="G47" s="32"/>
      <c r="H47" s="32"/>
      <c r="I47" s="52"/>
      <c r="J47" s="52"/>
      <c r="K47" s="52"/>
      <c r="L47" s="53"/>
      <c r="M47" s="54"/>
      <c r="N47" s="52"/>
      <c r="O47" s="52"/>
      <c r="P47" s="53"/>
      <c r="Q47" s="54"/>
      <c r="R47" s="52"/>
      <c r="S47" s="52"/>
      <c r="T47" s="53"/>
      <c r="U47" s="54"/>
      <c r="V47" s="52"/>
      <c r="W47" s="52"/>
      <c r="X47" s="53"/>
      <c r="Y47" s="54"/>
      <c r="Z47" s="52"/>
      <c r="AA47" s="52"/>
      <c r="AB47" s="53"/>
      <c r="AC47" s="54"/>
      <c r="AD47" s="52"/>
      <c r="AE47" s="52"/>
      <c r="AF47" s="53"/>
      <c r="AG47" s="55"/>
      <c r="AH47" s="55"/>
      <c r="AI47" s="55"/>
      <c r="AJ47" s="56"/>
      <c r="AK47" s="57" t="e">
        <f t="shared" si="0"/>
        <v>#DIV/0!</v>
      </c>
      <c r="AL47" s="58"/>
      <c r="AM47" s="58" t="e">
        <f t="shared" si="57"/>
        <v>#DIV/0!</v>
      </c>
      <c r="AN47" s="58" t="e">
        <f t="shared" si="58"/>
        <v>#DIV/0!</v>
      </c>
    </row>
    <row r="48" spans="1:40" ht="15" customHeight="1" x14ac:dyDescent="0.25">
      <c r="A48" s="32"/>
      <c r="B48" s="32"/>
      <c r="C48" s="32"/>
      <c r="D48" s="32"/>
      <c r="E48" s="32"/>
      <c r="F48" s="32" t="s">
        <v>63</v>
      </c>
      <c r="G48" s="32"/>
      <c r="H48" s="32"/>
      <c r="I48" s="52">
        <v>185636.55</v>
      </c>
      <c r="J48" s="52">
        <v>198190.07999999999</v>
      </c>
      <c r="K48" s="52">
        <f>ROUND((I48-J48),5)</f>
        <v>-12553.53</v>
      </c>
      <c r="L48" s="53">
        <f>ROUND(IF(J48=0,IF(I48=0,0,1),I48/J48),5)</f>
        <v>0.93666000000000005</v>
      </c>
      <c r="M48" s="54">
        <v>198752.63</v>
      </c>
      <c r="N48" s="52">
        <v>189999.96</v>
      </c>
      <c r="O48" s="52">
        <f>ROUND((M48-N48),5)</f>
        <v>8752.67</v>
      </c>
      <c r="P48" s="53">
        <f>ROUND(IF(N48=0,IF(M48=0,0,1),M48/N48),5)</f>
        <v>1.0460700000000001</v>
      </c>
      <c r="Q48" s="54">
        <v>156079.82</v>
      </c>
      <c r="R48" s="52">
        <v>144000</v>
      </c>
      <c r="S48" s="52">
        <f>ROUND((Q48-R48),5)</f>
        <v>12079.82</v>
      </c>
      <c r="T48" s="53">
        <f>ROUND(IF(R48=0,IF(Q48=0,0,1),Q48/R48),5)</f>
        <v>1.08389</v>
      </c>
      <c r="U48" s="54">
        <v>153585.82</v>
      </c>
      <c r="V48" s="52">
        <v>120999.96</v>
      </c>
      <c r="W48" s="52">
        <f>ROUND((U48-V48),5)</f>
        <v>32585.86</v>
      </c>
      <c r="X48" s="53">
        <f>ROUND(IF(V48=0,IF(U48=0,0,1),U48/V48),5)</f>
        <v>1.2693000000000001</v>
      </c>
      <c r="Y48" s="54">
        <v>143031.78</v>
      </c>
      <c r="Z48" s="52">
        <v>113000</v>
      </c>
      <c r="AA48" s="52">
        <f>ROUND((Y48-Z48),5)</f>
        <v>30031.78</v>
      </c>
      <c r="AB48" s="53">
        <f>ROUND(IF(Z48=0,IF(Y48=0,0,1),Y48/Z48),5)</f>
        <v>1.2657700000000001</v>
      </c>
      <c r="AC48" s="54">
        <v>100202.71</v>
      </c>
      <c r="AD48" s="52">
        <v>138000</v>
      </c>
      <c r="AE48" s="52">
        <f>ROUND((AC48-AD48),5)</f>
        <v>-37797.29</v>
      </c>
      <c r="AF48" s="53">
        <f>ROUND(IF(AD48=0,IF(AC48=0,0,1),AC48/AD48),5)</f>
        <v>0.72611000000000003</v>
      </c>
      <c r="AG48" s="55">
        <f t="shared" ref="AG48:AH52" si="59">ROUND(I48+M48+Q48+U48+Y48+AC48,5)</f>
        <v>937289.31</v>
      </c>
      <c r="AH48" s="55">
        <f t="shared" si="59"/>
        <v>904190</v>
      </c>
      <c r="AI48" s="55">
        <f>ROUND((AG48-AH48),5)</f>
        <v>33099.31</v>
      </c>
      <c r="AJ48" s="56">
        <f>ROUND(IF(AH48=0,IF(AG48=0,0,1),AG48/AH48),5)</f>
        <v>1.03661</v>
      </c>
      <c r="AK48" s="57">
        <f>AVERAGE(I48,M48,Q48,U48,Y48)</f>
        <v>167417.32</v>
      </c>
      <c r="AL48" s="58"/>
      <c r="AM48" s="58">
        <f t="shared" si="57"/>
        <v>177396.68000000002</v>
      </c>
      <c r="AN48" s="58">
        <f t="shared" si="58"/>
        <v>123999.98666666668</v>
      </c>
    </row>
    <row r="49" spans="1:40" ht="15" customHeight="1" x14ac:dyDescent="0.25">
      <c r="A49" s="32"/>
      <c r="B49" s="32"/>
      <c r="C49" s="32"/>
      <c r="D49" s="32"/>
      <c r="E49" s="32"/>
      <c r="F49" s="32" t="s">
        <v>64</v>
      </c>
      <c r="G49" s="32"/>
      <c r="H49" s="32"/>
      <c r="I49" s="52">
        <v>97599.54</v>
      </c>
      <c r="J49" s="52">
        <v>90145.56</v>
      </c>
      <c r="K49" s="52">
        <f>ROUND((I49-J49),5)</f>
        <v>7453.98</v>
      </c>
      <c r="L49" s="53">
        <f>ROUND(IF(J49=0,IF(I49=0,0,1),I49/J49),5)</f>
        <v>1.0826899999999999</v>
      </c>
      <c r="M49" s="54">
        <v>98121.56</v>
      </c>
      <c r="N49" s="52">
        <v>99999.96</v>
      </c>
      <c r="O49" s="52">
        <f>ROUND((M49-N49),5)</f>
        <v>-1878.4</v>
      </c>
      <c r="P49" s="53">
        <f>ROUND(IF(N49=0,IF(M49=0,0,1),M49/N49),5)</f>
        <v>0.98121999999999998</v>
      </c>
      <c r="Q49" s="54">
        <v>101576.68</v>
      </c>
      <c r="R49" s="52">
        <v>78999.960000000006</v>
      </c>
      <c r="S49" s="52">
        <f>ROUND((Q49-R49),5)</f>
        <v>22576.720000000001</v>
      </c>
      <c r="T49" s="53">
        <f>ROUND(IF(R49=0,IF(Q49=0,0,1),Q49/R49),5)</f>
        <v>1.2857799999999999</v>
      </c>
      <c r="U49" s="54">
        <v>107145.81</v>
      </c>
      <c r="V49" s="52">
        <v>86000.04</v>
      </c>
      <c r="W49" s="52">
        <f>ROUND((U49-V49),5)</f>
        <v>21145.77</v>
      </c>
      <c r="X49" s="53">
        <f>ROUND(IF(V49=0,IF(U49=0,0,1),U49/V49),5)</f>
        <v>1.2458800000000001</v>
      </c>
      <c r="Y49" s="54">
        <v>101216.27</v>
      </c>
      <c r="Z49" s="52">
        <v>80000</v>
      </c>
      <c r="AA49" s="52">
        <f>ROUND((Y49-Z49),5)</f>
        <v>21216.27</v>
      </c>
      <c r="AB49" s="53">
        <f>ROUND(IF(Z49=0,IF(Y49=0,0,1),Y49/Z49),5)</f>
        <v>1.2652000000000001</v>
      </c>
      <c r="AC49" s="54">
        <v>23575.01</v>
      </c>
      <c r="AD49" s="52">
        <v>101200</v>
      </c>
      <c r="AE49" s="52">
        <f>ROUND((AC49-AD49),5)</f>
        <v>-77624.990000000005</v>
      </c>
      <c r="AF49" s="53">
        <f>ROUND(IF(AD49=0,IF(AC49=0,0,1),AC49/AD49),5)</f>
        <v>0.23294999999999999</v>
      </c>
      <c r="AG49" s="55">
        <f t="shared" si="59"/>
        <v>529234.87</v>
      </c>
      <c r="AH49" s="55">
        <f t="shared" si="59"/>
        <v>536345.52</v>
      </c>
      <c r="AI49" s="55">
        <f>ROUND((AG49-AH49),5)</f>
        <v>-7110.65</v>
      </c>
      <c r="AJ49" s="56">
        <f>ROUND(IF(AH49=0,IF(AG49=0,0,1),AG49/AH49),5)</f>
        <v>0.98673999999999995</v>
      </c>
      <c r="AK49" s="57">
        <f t="shared" ref="AK49:AK80" si="60">AVERAGE(I49,M49,Q49,U49,Y49,AC49)</f>
        <v>88205.811666666661</v>
      </c>
      <c r="AL49" s="58"/>
      <c r="AM49" s="58">
        <f t="shared" si="57"/>
        <v>89715.160000000018</v>
      </c>
      <c r="AN49" s="58">
        <f t="shared" si="58"/>
        <v>89066.68</v>
      </c>
    </row>
    <row r="50" spans="1:40" ht="15" customHeight="1" x14ac:dyDescent="0.25">
      <c r="A50" s="32"/>
      <c r="B50" s="32"/>
      <c r="C50" s="32"/>
      <c r="D50" s="32"/>
      <c r="E50" s="32"/>
      <c r="F50" s="32" t="s">
        <v>65</v>
      </c>
      <c r="G50" s="32"/>
      <c r="H50" s="32"/>
      <c r="I50" s="52">
        <v>10777.36</v>
      </c>
      <c r="J50" s="52">
        <v>10386.530000000001</v>
      </c>
      <c r="K50" s="52">
        <f>ROUND((I50-J50),5)</f>
        <v>390.83</v>
      </c>
      <c r="L50" s="53">
        <f>ROUND(IF(J50=0,IF(I50=0,0,1),I50/J50),5)</f>
        <v>1.0376300000000001</v>
      </c>
      <c r="M50" s="54">
        <v>12921.11</v>
      </c>
      <c r="N50" s="52">
        <v>11000.04</v>
      </c>
      <c r="O50" s="52">
        <f>ROUND((M50-N50),5)</f>
        <v>1921.07</v>
      </c>
      <c r="P50" s="53">
        <f>ROUND(IF(N50=0,IF(M50=0,0,1),M50/N50),5)</f>
        <v>1.1746399999999999</v>
      </c>
      <c r="Q50" s="54">
        <v>14780.95</v>
      </c>
      <c r="R50" s="52">
        <v>11000.04</v>
      </c>
      <c r="S50" s="52">
        <f>ROUND((Q50-R50),5)</f>
        <v>3780.91</v>
      </c>
      <c r="T50" s="53">
        <f>ROUND(IF(R50=0,IF(Q50=0,0,1),Q50/R50),5)</f>
        <v>1.34372</v>
      </c>
      <c r="U50" s="54">
        <v>14749.9</v>
      </c>
      <c r="V50" s="52">
        <v>11499.96</v>
      </c>
      <c r="W50" s="52">
        <f>ROUND((U50-V50),5)</f>
        <v>3249.94</v>
      </c>
      <c r="X50" s="53">
        <f>ROUND(IF(V50=0,IF(U50=0,0,1),U50/V50),5)</f>
        <v>1.2826</v>
      </c>
      <c r="Y50" s="54">
        <v>14325.55</v>
      </c>
      <c r="Z50" s="52">
        <v>11000.04</v>
      </c>
      <c r="AA50" s="52">
        <f>ROUND((Y50-Z50),5)</f>
        <v>3325.51</v>
      </c>
      <c r="AB50" s="53">
        <f>ROUND(IF(Z50=0,IF(Y50=0,0,1),Y50/Z50),5)</f>
        <v>1.3023199999999999</v>
      </c>
      <c r="AC50" s="54">
        <v>24256.33</v>
      </c>
      <c r="AD50" s="52">
        <v>13800</v>
      </c>
      <c r="AE50" s="52">
        <f>ROUND((AC50-AD50),5)</f>
        <v>10456.33</v>
      </c>
      <c r="AF50" s="53">
        <f>ROUND(IF(AD50=0,IF(AC50=0,0,1),AC50/AD50),5)</f>
        <v>1.7577100000000001</v>
      </c>
      <c r="AG50" s="55">
        <f t="shared" si="59"/>
        <v>91811.199999999997</v>
      </c>
      <c r="AH50" s="55">
        <f t="shared" si="59"/>
        <v>68686.61</v>
      </c>
      <c r="AI50" s="55">
        <f>ROUND((AG50-AH50),5)</f>
        <v>23124.59</v>
      </c>
      <c r="AJ50" s="56">
        <f>ROUND(IF(AH50=0,IF(AG50=0,0,1),AG50/AH50),5)</f>
        <v>1.33667</v>
      </c>
      <c r="AK50" s="57">
        <f t="shared" si="60"/>
        <v>15301.866666666667</v>
      </c>
      <c r="AL50" s="58"/>
      <c r="AM50" s="58">
        <f t="shared" si="57"/>
        <v>10795.536666666667</v>
      </c>
      <c r="AN50" s="58">
        <f t="shared" si="58"/>
        <v>12100</v>
      </c>
    </row>
    <row r="51" spans="1:40" ht="15" customHeight="1" x14ac:dyDescent="0.25">
      <c r="A51" s="32"/>
      <c r="B51" s="32"/>
      <c r="C51" s="32"/>
      <c r="D51" s="32"/>
      <c r="E51" s="32"/>
      <c r="F51" s="32" t="s">
        <v>167</v>
      </c>
      <c r="G51" s="32"/>
      <c r="H51" s="32"/>
      <c r="I51" s="52">
        <v>0</v>
      </c>
      <c r="J51" s="52">
        <v>0</v>
      </c>
      <c r="K51" s="52">
        <f>ROUND((I51-J51),5)</f>
        <v>0</v>
      </c>
      <c r="L51" s="53">
        <f>ROUND(IF(J51=0,IF(I51=0,0,1),I51/J51),5)</f>
        <v>0</v>
      </c>
      <c r="M51" s="54">
        <v>0</v>
      </c>
      <c r="N51" s="52"/>
      <c r="O51" s="52"/>
      <c r="P51" s="53"/>
      <c r="Q51" s="54">
        <v>0</v>
      </c>
      <c r="R51" s="52"/>
      <c r="S51" s="52"/>
      <c r="T51" s="53"/>
      <c r="U51" s="54">
        <v>0</v>
      </c>
      <c r="V51" s="52"/>
      <c r="W51" s="52"/>
      <c r="X51" s="53"/>
      <c r="Y51" s="54">
        <v>0</v>
      </c>
      <c r="Z51" s="52"/>
      <c r="AA51" s="52"/>
      <c r="AB51" s="53"/>
      <c r="AC51" s="54">
        <v>0</v>
      </c>
      <c r="AD51" s="52"/>
      <c r="AE51" s="52"/>
      <c r="AF51" s="53"/>
      <c r="AG51" s="55">
        <f t="shared" si="59"/>
        <v>0</v>
      </c>
      <c r="AH51" s="55">
        <f t="shared" si="59"/>
        <v>0</v>
      </c>
      <c r="AI51" s="55">
        <f>ROUND((AG51-AH51),5)</f>
        <v>0</v>
      </c>
      <c r="AJ51" s="56">
        <f>ROUND(IF(AH51=0,IF(AG51=0,0,1),AG51/AH51),5)</f>
        <v>0</v>
      </c>
      <c r="AK51" s="57">
        <f t="shared" si="60"/>
        <v>0</v>
      </c>
      <c r="AL51" s="58"/>
      <c r="AM51" s="58">
        <f t="shared" si="57"/>
        <v>0</v>
      </c>
      <c r="AN51" s="58" t="e">
        <f t="shared" si="58"/>
        <v>#DIV/0!</v>
      </c>
    </row>
    <row r="52" spans="1:40" ht="15" customHeight="1" x14ac:dyDescent="0.25">
      <c r="A52" s="32"/>
      <c r="B52" s="32"/>
      <c r="C52" s="32"/>
      <c r="D52" s="32"/>
      <c r="E52" s="32"/>
      <c r="F52" s="32" t="s">
        <v>168</v>
      </c>
      <c r="G52" s="32"/>
      <c r="H52" s="32"/>
      <c r="I52" s="52">
        <v>50</v>
      </c>
      <c r="J52" s="52">
        <v>500</v>
      </c>
      <c r="K52" s="52">
        <f>ROUND((I52-J52),5)</f>
        <v>-450</v>
      </c>
      <c r="L52" s="53">
        <f>ROUND(IF(J52=0,IF(I52=0,0,1),I52/J52),5)</f>
        <v>0.1</v>
      </c>
      <c r="M52" s="54">
        <v>0</v>
      </c>
      <c r="N52" s="52">
        <v>0</v>
      </c>
      <c r="O52" s="52">
        <f>ROUND((M52-N52),5)</f>
        <v>0</v>
      </c>
      <c r="P52" s="53">
        <f>ROUND(IF(N52=0,IF(M52=0,0,1),M52/N52),5)</f>
        <v>0</v>
      </c>
      <c r="Q52" s="54">
        <v>0</v>
      </c>
      <c r="R52" s="52">
        <v>0</v>
      </c>
      <c r="S52" s="52">
        <f>ROUND((Q52-R52),5)</f>
        <v>0</v>
      </c>
      <c r="T52" s="53">
        <f>ROUND(IF(R52=0,IF(Q52=0,0,1),Q52/R52),5)</f>
        <v>0</v>
      </c>
      <c r="U52" s="54">
        <v>0</v>
      </c>
      <c r="V52" s="52"/>
      <c r="W52" s="52"/>
      <c r="X52" s="53"/>
      <c r="Y52" s="54">
        <v>0</v>
      </c>
      <c r="Z52" s="52"/>
      <c r="AA52" s="52"/>
      <c r="AB52" s="53"/>
      <c r="AC52" s="54">
        <v>0</v>
      </c>
      <c r="AD52" s="52"/>
      <c r="AE52" s="52"/>
      <c r="AF52" s="53"/>
      <c r="AG52" s="55">
        <f t="shared" si="59"/>
        <v>50</v>
      </c>
      <c r="AH52" s="55">
        <f t="shared" si="59"/>
        <v>500</v>
      </c>
      <c r="AI52" s="55">
        <f>ROUND((AG52-AH52),5)</f>
        <v>-450</v>
      </c>
      <c r="AJ52" s="56">
        <f>ROUND(IF(AH52=0,IF(AG52=0,0,1),AG52/AH52),5)</f>
        <v>0.1</v>
      </c>
      <c r="AK52" s="57">
        <f t="shared" si="60"/>
        <v>8.3333333333333339</v>
      </c>
      <c r="AL52" s="58"/>
      <c r="AM52" s="58">
        <f t="shared" si="57"/>
        <v>166.66666666666666</v>
      </c>
      <c r="AN52" s="58" t="e">
        <f t="shared" si="58"/>
        <v>#DIV/0!</v>
      </c>
    </row>
    <row r="53" spans="1:40" ht="15.75" customHeight="1" x14ac:dyDescent="0.25">
      <c r="A53" s="32"/>
      <c r="B53" s="32"/>
      <c r="C53" s="32"/>
      <c r="D53" s="32"/>
      <c r="E53" s="32"/>
      <c r="F53" s="32" t="s">
        <v>169</v>
      </c>
      <c r="G53" s="32"/>
      <c r="H53" s="32"/>
      <c r="I53" s="59">
        <v>0</v>
      </c>
      <c r="J53" s="59"/>
      <c r="K53" s="59"/>
      <c r="L53" s="60"/>
      <c r="M53" s="61">
        <v>0</v>
      </c>
      <c r="N53" s="59"/>
      <c r="O53" s="59"/>
      <c r="P53" s="60"/>
      <c r="Q53" s="61">
        <v>0</v>
      </c>
      <c r="R53" s="59"/>
      <c r="S53" s="59"/>
      <c r="T53" s="60"/>
      <c r="U53" s="61">
        <v>0</v>
      </c>
      <c r="V53" s="59"/>
      <c r="W53" s="59"/>
      <c r="X53" s="60"/>
      <c r="Y53" s="61">
        <v>0</v>
      </c>
      <c r="Z53" s="59"/>
      <c r="AA53" s="59"/>
      <c r="AB53" s="60"/>
      <c r="AC53" s="61">
        <v>10737.74</v>
      </c>
      <c r="AD53" s="59"/>
      <c r="AE53" s="59"/>
      <c r="AF53" s="60"/>
      <c r="AG53" s="62">
        <f>ROUND(I53+M53+Q53+U53+Y53+AC53,5)</f>
        <v>10737.74</v>
      </c>
      <c r="AH53" s="62"/>
      <c r="AI53" s="62"/>
      <c r="AJ53" s="63"/>
      <c r="AK53" s="57">
        <f t="shared" si="60"/>
        <v>1789.6233333333332</v>
      </c>
      <c r="AL53" s="58"/>
      <c r="AM53" s="58" t="e">
        <f t="shared" si="57"/>
        <v>#DIV/0!</v>
      </c>
      <c r="AN53" s="58" t="e">
        <f t="shared" si="58"/>
        <v>#DIV/0!</v>
      </c>
    </row>
    <row r="54" spans="1:40" ht="15" customHeight="1" x14ac:dyDescent="0.25">
      <c r="A54" s="32"/>
      <c r="B54" s="32"/>
      <c r="C54" s="32"/>
      <c r="D54" s="32"/>
      <c r="E54" s="32" t="s">
        <v>66</v>
      </c>
      <c r="F54" s="32"/>
      <c r="G54" s="32"/>
      <c r="H54" s="32"/>
      <c r="I54" s="69">
        <f>ROUND(SUM(I47:I53),5)</f>
        <v>294063.45</v>
      </c>
      <c r="J54" s="69">
        <f>ROUND(SUM(J47:J53),5)</f>
        <v>299222.17</v>
      </c>
      <c r="K54" s="69">
        <f>ROUND((I54-J54),5)</f>
        <v>-5158.72</v>
      </c>
      <c r="L54" s="70">
        <f>ROUND(IF(J54=0,IF(I54=0,0,1),I54/J54),5)</f>
        <v>0.98275999999999997</v>
      </c>
      <c r="M54" s="71">
        <f>ROUND(SUM(M47:M53),5)</f>
        <v>309795.3</v>
      </c>
      <c r="N54" s="69">
        <f>ROUND(SUM(N47:N53),5)</f>
        <v>300999.96000000002</v>
      </c>
      <c r="O54" s="69">
        <f>ROUND((M54-N54),5)</f>
        <v>8795.34</v>
      </c>
      <c r="P54" s="70">
        <f>ROUND(IF(N54=0,IF(M54=0,0,1),M54/N54),5)</f>
        <v>1.02922</v>
      </c>
      <c r="Q54" s="71">
        <f>ROUND(SUM(Q47:Q53),5)</f>
        <v>272437.45</v>
      </c>
      <c r="R54" s="69">
        <f>ROUND(SUM(R47:R53),5)</f>
        <v>234000</v>
      </c>
      <c r="S54" s="69">
        <f>ROUND((Q54-R54),5)</f>
        <v>38437.449999999997</v>
      </c>
      <c r="T54" s="70">
        <f>ROUND(IF(R54=0,IF(Q54=0,0,1),Q54/R54),5)</f>
        <v>1.1642600000000001</v>
      </c>
      <c r="U54" s="71">
        <f>ROUND(SUM(U47:U53),5)</f>
        <v>275481.53000000003</v>
      </c>
      <c r="V54" s="69">
        <f>ROUND(SUM(V47:V53),5)</f>
        <v>218499.96</v>
      </c>
      <c r="W54" s="69">
        <f>ROUND((U54-V54),5)</f>
        <v>56981.57</v>
      </c>
      <c r="X54" s="70">
        <f>ROUND(IF(V54=0,IF(U54=0,0,1),U54/V54),5)</f>
        <v>1.2607900000000001</v>
      </c>
      <c r="Y54" s="71">
        <f>ROUND(SUM(Y47:Y53),5)</f>
        <v>258573.6</v>
      </c>
      <c r="Z54" s="69">
        <f>ROUND(SUM(Z47:Z53),5)</f>
        <v>204000.04</v>
      </c>
      <c r="AA54" s="69">
        <f>ROUND((Y54-Z54),5)</f>
        <v>54573.56</v>
      </c>
      <c r="AB54" s="70">
        <f>ROUND(IF(Z54=0,IF(Y54=0,0,1),Y54/Z54),5)</f>
        <v>1.26752</v>
      </c>
      <c r="AC54" s="71">
        <f>ROUND(SUM(AC47:AC53),5)</f>
        <v>158771.79</v>
      </c>
      <c r="AD54" s="69">
        <f>ROUND(SUM(AD47:AD53),5)</f>
        <v>253000</v>
      </c>
      <c r="AE54" s="69">
        <f>ROUND((AC54-AD54),5)</f>
        <v>-94228.21</v>
      </c>
      <c r="AF54" s="70">
        <f>ROUND(IF(AD54=0,IF(AC54=0,0,1),AC54/AD54),5)</f>
        <v>0.62756000000000001</v>
      </c>
      <c r="AG54" s="72">
        <f>ROUND(I54+M54+Q54+U54+Y54+AC54,5)</f>
        <v>1569123.12</v>
      </c>
      <c r="AH54" s="72">
        <f>ROUND(J54+N54+R54+V54+Z54+AD54,5)</f>
        <v>1509722.13</v>
      </c>
      <c r="AI54" s="72">
        <f>ROUND((AG54-AH54),5)</f>
        <v>59400.99</v>
      </c>
      <c r="AJ54" s="73">
        <f>ROUND(IF(AH54=0,IF(AG54=0,0,1),AG54/AH54),5)</f>
        <v>1.03935</v>
      </c>
      <c r="AK54" s="57">
        <f t="shared" si="60"/>
        <v>261520.52000000002</v>
      </c>
      <c r="AL54" s="58"/>
      <c r="AM54" s="58">
        <f t="shared" si="57"/>
        <v>278074.04333333333</v>
      </c>
      <c r="AN54" s="58">
        <f t="shared" si="58"/>
        <v>225166.66666666666</v>
      </c>
    </row>
    <row r="55" spans="1:40" ht="15" customHeight="1" x14ac:dyDescent="0.25">
      <c r="A55" s="32"/>
      <c r="B55" s="32"/>
      <c r="C55" s="32"/>
      <c r="D55" s="32"/>
      <c r="E55" s="32" t="s">
        <v>67</v>
      </c>
      <c r="F55" s="32"/>
      <c r="G55" s="32"/>
      <c r="H55" s="32"/>
      <c r="I55" s="52"/>
      <c r="J55" s="52"/>
      <c r="K55" s="52"/>
      <c r="L55" s="53"/>
      <c r="M55" s="54"/>
      <c r="N55" s="52"/>
      <c r="O55" s="52"/>
      <c r="P55" s="53"/>
      <c r="Q55" s="54"/>
      <c r="R55" s="52"/>
      <c r="S55" s="52"/>
      <c r="T55" s="53"/>
      <c r="U55" s="54"/>
      <c r="V55" s="52"/>
      <c r="W55" s="52"/>
      <c r="X55" s="53"/>
      <c r="Y55" s="54"/>
      <c r="Z55" s="52"/>
      <c r="AA55" s="52"/>
      <c r="AB55" s="53"/>
      <c r="AC55" s="54"/>
      <c r="AD55" s="52"/>
      <c r="AE55" s="52"/>
      <c r="AF55" s="53"/>
      <c r="AG55" s="55"/>
      <c r="AH55" s="55"/>
      <c r="AI55" s="55"/>
      <c r="AJ55" s="56"/>
      <c r="AK55" s="57" t="e">
        <f t="shared" si="60"/>
        <v>#DIV/0!</v>
      </c>
      <c r="AL55" s="58"/>
      <c r="AM55" s="58" t="e">
        <f t="shared" si="57"/>
        <v>#DIV/0!</v>
      </c>
      <c r="AN55" s="58" t="e">
        <f t="shared" si="58"/>
        <v>#DIV/0!</v>
      </c>
    </row>
    <row r="56" spans="1:40" ht="15" customHeight="1" x14ac:dyDescent="0.25">
      <c r="A56" s="32"/>
      <c r="B56" s="32"/>
      <c r="C56" s="32"/>
      <c r="D56" s="32"/>
      <c r="E56" s="32"/>
      <c r="F56" s="32" t="s">
        <v>68</v>
      </c>
      <c r="G56" s="32"/>
      <c r="H56" s="32"/>
      <c r="I56" s="52"/>
      <c r="J56" s="52"/>
      <c r="K56" s="52"/>
      <c r="L56" s="53"/>
      <c r="M56" s="54"/>
      <c r="N56" s="52"/>
      <c r="O56" s="52"/>
      <c r="P56" s="53"/>
      <c r="Q56" s="54"/>
      <c r="R56" s="52"/>
      <c r="S56" s="52"/>
      <c r="T56" s="53"/>
      <c r="U56" s="54"/>
      <c r="V56" s="52"/>
      <c r="W56" s="52"/>
      <c r="X56" s="53"/>
      <c r="Y56" s="54"/>
      <c r="Z56" s="52"/>
      <c r="AA56" s="52"/>
      <c r="AB56" s="53"/>
      <c r="AC56" s="54"/>
      <c r="AD56" s="52"/>
      <c r="AE56" s="52"/>
      <c r="AF56" s="53"/>
      <c r="AG56" s="55"/>
      <c r="AH56" s="55"/>
      <c r="AI56" s="55"/>
      <c r="AJ56" s="56"/>
      <c r="AK56" s="57" t="e">
        <f t="shared" si="60"/>
        <v>#DIV/0!</v>
      </c>
      <c r="AL56" s="58"/>
      <c r="AM56" s="58" t="e">
        <f t="shared" si="57"/>
        <v>#DIV/0!</v>
      </c>
      <c r="AN56" s="58" t="e">
        <f t="shared" si="58"/>
        <v>#DIV/0!</v>
      </c>
    </row>
    <row r="57" spans="1:40" ht="15" customHeight="1" x14ac:dyDescent="0.25">
      <c r="A57" s="32"/>
      <c r="B57" s="32"/>
      <c r="C57" s="32"/>
      <c r="D57" s="32"/>
      <c r="E57" s="32"/>
      <c r="F57" s="32"/>
      <c r="G57" s="32" t="s">
        <v>69</v>
      </c>
      <c r="H57" s="32"/>
      <c r="I57" s="52">
        <v>5084.5</v>
      </c>
      <c r="J57" s="52">
        <v>3999.96</v>
      </c>
      <c r="K57" s="52">
        <f>ROUND((I57-J57),5)</f>
        <v>1084.54</v>
      </c>
      <c r="L57" s="53">
        <f>ROUND(IF(J57=0,IF(I57=0,0,1),I57/J57),5)</f>
        <v>1.2711399999999999</v>
      </c>
      <c r="M57" s="54">
        <v>3514.47</v>
      </c>
      <c r="N57" s="52">
        <v>4500</v>
      </c>
      <c r="O57" s="52">
        <f>ROUND((M57-N57),5)</f>
        <v>-985.53</v>
      </c>
      <c r="P57" s="53">
        <f>ROUND(IF(N57=0,IF(M57=0,0,1),M57/N57),5)</f>
        <v>0.78098999999999996</v>
      </c>
      <c r="Q57" s="54">
        <v>3955.31</v>
      </c>
      <c r="R57" s="52">
        <v>4500</v>
      </c>
      <c r="S57" s="52">
        <f>ROUND((Q57-R57),5)</f>
        <v>-544.69000000000005</v>
      </c>
      <c r="T57" s="53">
        <f>ROUND(IF(R57=0,IF(Q57=0,0,1),Q57/R57),5)</f>
        <v>0.87895999999999996</v>
      </c>
      <c r="U57" s="54">
        <v>3364.25</v>
      </c>
      <c r="V57" s="52">
        <v>4500</v>
      </c>
      <c r="W57" s="52">
        <f>ROUND((U57-V57),5)</f>
        <v>-1135.75</v>
      </c>
      <c r="X57" s="53">
        <f>ROUND(IF(V57=0,IF(U57=0,0,1),U57/V57),5)</f>
        <v>0.74761</v>
      </c>
      <c r="Y57" s="54">
        <v>3282.75</v>
      </c>
      <c r="Z57" s="52">
        <v>4500</v>
      </c>
      <c r="AA57" s="52">
        <f>ROUND((Y57-Z57),5)</f>
        <v>-1217.25</v>
      </c>
      <c r="AB57" s="53">
        <f>ROUND(IF(Z57=0,IF(Y57=0,0,1),Y57/Z57),5)</f>
        <v>0.72950000000000004</v>
      </c>
      <c r="AC57" s="54">
        <v>2248.5700000000002</v>
      </c>
      <c r="AD57" s="52">
        <v>4000</v>
      </c>
      <c r="AE57" s="52">
        <f>ROUND((AC57-AD57),5)</f>
        <v>-1751.43</v>
      </c>
      <c r="AF57" s="53">
        <f>ROUND(IF(AD57=0,IF(AC57=0,0,1),AC57/AD57),5)</f>
        <v>0.56213999999999997</v>
      </c>
      <c r="AG57" s="55">
        <f t="shared" ref="AG57:AH60" si="61">ROUND(I57+M57+Q57+U57+Y57+AC57,5)</f>
        <v>21449.85</v>
      </c>
      <c r="AH57" s="55">
        <f t="shared" si="61"/>
        <v>25999.96</v>
      </c>
      <c r="AI57" s="55">
        <f>ROUND((AG57-AH57),5)</f>
        <v>-4550.1099999999997</v>
      </c>
      <c r="AJ57" s="56">
        <f>ROUND(IF(AH57=0,IF(AG57=0,0,1),AG57/AH57),5)</f>
        <v>0.82499999999999996</v>
      </c>
      <c r="AK57" s="57">
        <f t="shared" si="60"/>
        <v>3574.9749999999999</v>
      </c>
      <c r="AL57" s="58"/>
      <c r="AM57" s="58">
        <f t="shared" si="57"/>
        <v>4333.32</v>
      </c>
      <c r="AN57" s="58">
        <f t="shared" si="58"/>
        <v>4333.333333333333</v>
      </c>
    </row>
    <row r="58" spans="1:40" ht="15" customHeight="1" x14ac:dyDescent="0.25">
      <c r="A58" s="32"/>
      <c r="B58" s="32"/>
      <c r="C58" s="32"/>
      <c r="D58" s="32"/>
      <c r="E58" s="32"/>
      <c r="F58" s="32"/>
      <c r="G58" s="32" t="s">
        <v>71</v>
      </c>
      <c r="H58" s="32"/>
      <c r="I58" s="52">
        <v>12869.28</v>
      </c>
      <c r="J58" s="52">
        <v>15999.96</v>
      </c>
      <c r="K58" s="52">
        <f>ROUND((I58-J58),5)</f>
        <v>-3130.68</v>
      </c>
      <c r="L58" s="53">
        <f>ROUND(IF(J58=0,IF(I58=0,0,1),I58/J58),5)</f>
        <v>0.80432999999999999</v>
      </c>
      <c r="M58" s="54">
        <v>12316.32</v>
      </c>
      <c r="N58" s="52">
        <v>12305.64</v>
      </c>
      <c r="O58" s="52">
        <f>ROUND((M58-N58),5)</f>
        <v>10.68</v>
      </c>
      <c r="P58" s="53">
        <f>ROUND(IF(N58=0,IF(M58=0,0,1),M58/N58),5)</f>
        <v>1.0008699999999999</v>
      </c>
      <c r="Q58" s="54">
        <v>12858.11</v>
      </c>
      <c r="R58" s="52">
        <v>12305.64</v>
      </c>
      <c r="S58" s="52">
        <f>ROUND((Q58-R58),5)</f>
        <v>552.47</v>
      </c>
      <c r="T58" s="53">
        <f>ROUND(IF(R58=0,IF(Q58=0,0,1),Q58/R58),5)</f>
        <v>1.0448999999999999</v>
      </c>
      <c r="U58" s="54">
        <v>13489.89</v>
      </c>
      <c r="V58" s="52">
        <v>12800.04</v>
      </c>
      <c r="W58" s="52">
        <f>ROUND((U58-V58),5)</f>
        <v>689.85</v>
      </c>
      <c r="X58" s="53">
        <f>ROUND(IF(V58=0,IF(U58=0,0,1),U58/V58),5)</f>
        <v>1.05389</v>
      </c>
      <c r="Y58" s="54">
        <v>14443.09</v>
      </c>
      <c r="Z58" s="52">
        <v>12800.04</v>
      </c>
      <c r="AA58" s="52">
        <f>ROUND((Y58-Z58),5)</f>
        <v>1643.05</v>
      </c>
      <c r="AB58" s="53">
        <f>ROUND(IF(Z58=0,IF(Y58=0,0,1),Y58/Z58),5)</f>
        <v>1.12836</v>
      </c>
      <c r="AC58" s="54">
        <v>12095.75</v>
      </c>
      <c r="AD58" s="52">
        <v>13000</v>
      </c>
      <c r="AE58" s="52">
        <f>ROUND((AC58-AD58),5)</f>
        <v>-904.25</v>
      </c>
      <c r="AF58" s="53">
        <f>ROUND(IF(AD58=0,IF(AC58=0,0,1),AC58/AD58),5)</f>
        <v>0.93044000000000004</v>
      </c>
      <c r="AG58" s="55">
        <f t="shared" si="61"/>
        <v>78072.44</v>
      </c>
      <c r="AH58" s="55">
        <f t="shared" si="61"/>
        <v>79211.320000000007</v>
      </c>
      <c r="AI58" s="55">
        <f>ROUND((AG58-AH58),5)</f>
        <v>-1138.8800000000001</v>
      </c>
      <c r="AJ58" s="56">
        <f>ROUND(IF(AH58=0,IF(AG58=0,0,1),AG58/AH58),5)</f>
        <v>0.98562000000000005</v>
      </c>
      <c r="AK58" s="57">
        <f t="shared" si="60"/>
        <v>13012.073333333334</v>
      </c>
      <c r="AL58" s="58"/>
      <c r="AM58" s="58">
        <f t="shared" si="57"/>
        <v>13537.08</v>
      </c>
      <c r="AN58" s="58">
        <f t="shared" si="58"/>
        <v>12866.693333333335</v>
      </c>
    </row>
    <row r="59" spans="1:40" ht="15.75" customHeight="1" x14ac:dyDescent="0.25">
      <c r="A59" s="32"/>
      <c r="B59" s="32"/>
      <c r="C59" s="32"/>
      <c r="D59" s="32"/>
      <c r="E59" s="32"/>
      <c r="F59" s="32"/>
      <c r="G59" s="32" t="s">
        <v>72</v>
      </c>
      <c r="H59" s="32"/>
      <c r="I59" s="59">
        <v>307.64999999999998</v>
      </c>
      <c r="J59" s="59">
        <v>274.92</v>
      </c>
      <c r="K59" s="59">
        <f>ROUND((I59-J59),5)</f>
        <v>32.729999999999997</v>
      </c>
      <c r="L59" s="60">
        <f>ROUND(IF(J59=0,IF(I59=0,0,1),I59/J59),5)</f>
        <v>1.1190500000000001</v>
      </c>
      <c r="M59" s="61">
        <v>294.89</v>
      </c>
      <c r="N59" s="59">
        <v>300</v>
      </c>
      <c r="O59" s="59">
        <f>ROUND((M59-N59),5)</f>
        <v>-5.1100000000000003</v>
      </c>
      <c r="P59" s="60">
        <f>ROUND(IF(N59=0,IF(M59=0,0,1),M59/N59),5)</f>
        <v>0.98297000000000001</v>
      </c>
      <c r="Q59" s="61">
        <v>288.52</v>
      </c>
      <c r="R59" s="59">
        <v>300</v>
      </c>
      <c r="S59" s="59">
        <f>ROUND((Q59-R59),5)</f>
        <v>-11.48</v>
      </c>
      <c r="T59" s="60">
        <f>ROUND(IF(R59=0,IF(Q59=0,0,1),Q59/R59),5)</f>
        <v>0.96172999999999997</v>
      </c>
      <c r="U59" s="61">
        <v>194.61</v>
      </c>
      <c r="V59" s="59">
        <v>312</v>
      </c>
      <c r="W59" s="59">
        <f>ROUND((U59-V59),5)</f>
        <v>-117.39</v>
      </c>
      <c r="X59" s="60">
        <f>ROUND(IF(V59=0,IF(U59=0,0,1),U59/V59),5)</f>
        <v>0.62375000000000003</v>
      </c>
      <c r="Y59" s="61">
        <v>215.61</v>
      </c>
      <c r="Z59" s="59">
        <v>312</v>
      </c>
      <c r="AA59" s="59">
        <f>ROUND((Y59-Z59),5)</f>
        <v>-96.39</v>
      </c>
      <c r="AB59" s="60">
        <f>ROUND(IF(Z59=0,IF(Y59=0,0,1),Y59/Z59),5)</f>
        <v>0.69106000000000001</v>
      </c>
      <c r="AC59" s="61">
        <v>172.84</v>
      </c>
      <c r="AD59" s="59">
        <v>300</v>
      </c>
      <c r="AE59" s="59">
        <f>ROUND((AC59-AD59),5)</f>
        <v>-127.16</v>
      </c>
      <c r="AF59" s="60">
        <f>ROUND(IF(AD59=0,IF(AC59=0,0,1),AC59/AD59),5)</f>
        <v>0.57613000000000003</v>
      </c>
      <c r="AG59" s="62">
        <f t="shared" si="61"/>
        <v>1474.12</v>
      </c>
      <c r="AH59" s="62">
        <f t="shared" si="61"/>
        <v>1798.92</v>
      </c>
      <c r="AI59" s="62">
        <f>ROUND((AG59-AH59),5)</f>
        <v>-324.8</v>
      </c>
      <c r="AJ59" s="63">
        <f>ROUND(IF(AH59=0,IF(AG59=0,0,1),AG59/AH59),5)</f>
        <v>0.81945000000000001</v>
      </c>
      <c r="AK59" s="57">
        <f t="shared" si="60"/>
        <v>245.6866666666667</v>
      </c>
      <c r="AL59" s="58"/>
      <c r="AM59" s="58">
        <f t="shared" si="57"/>
        <v>291.64000000000004</v>
      </c>
      <c r="AN59" s="58">
        <f t="shared" si="58"/>
        <v>308</v>
      </c>
    </row>
    <row r="60" spans="1:40" ht="15" customHeight="1" x14ac:dyDescent="0.25">
      <c r="A60" s="32"/>
      <c r="B60" s="32"/>
      <c r="C60" s="32"/>
      <c r="D60" s="32"/>
      <c r="E60" s="32"/>
      <c r="F60" s="32" t="s">
        <v>73</v>
      </c>
      <c r="G60" s="32"/>
      <c r="H60" s="32"/>
      <c r="I60" s="69">
        <f>ROUND(SUM(I56:I59),5)</f>
        <v>18261.43</v>
      </c>
      <c r="J60" s="69">
        <f>ROUND(SUM(J56:J59),5)</f>
        <v>20274.84</v>
      </c>
      <c r="K60" s="69">
        <f>ROUND((I60-J60),5)</f>
        <v>-2013.41</v>
      </c>
      <c r="L60" s="70">
        <f>ROUND(IF(J60=0,IF(I60=0,0,1),I60/J60),5)</f>
        <v>0.90068999999999999</v>
      </c>
      <c r="M60" s="71">
        <f>ROUND(SUM(M56:M59),5)</f>
        <v>16125.68</v>
      </c>
      <c r="N60" s="69">
        <f>ROUND(SUM(N56:N59),5)</f>
        <v>17105.64</v>
      </c>
      <c r="O60" s="69">
        <f>ROUND((M60-N60),5)</f>
        <v>-979.96</v>
      </c>
      <c r="P60" s="70">
        <f>ROUND(IF(N60=0,IF(M60=0,0,1),M60/N60),5)</f>
        <v>0.94271000000000005</v>
      </c>
      <c r="Q60" s="71">
        <f>ROUND(SUM(Q56:Q59),5)</f>
        <v>17101.939999999999</v>
      </c>
      <c r="R60" s="69">
        <f>ROUND(SUM(R56:R59),5)</f>
        <v>17105.64</v>
      </c>
      <c r="S60" s="69">
        <f>ROUND((Q60-R60),5)</f>
        <v>-3.7</v>
      </c>
      <c r="T60" s="70">
        <f>ROUND(IF(R60=0,IF(Q60=0,0,1),Q60/R60),5)</f>
        <v>0.99978</v>
      </c>
      <c r="U60" s="71">
        <f>ROUND(SUM(U56:U59),5)</f>
        <v>17048.75</v>
      </c>
      <c r="V60" s="69">
        <f>ROUND(SUM(V56:V59),5)</f>
        <v>17612.04</v>
      </c>
      <c r="W60" s="69">
        <f>ROUND((U60-V60),5)</f>
        <v>-563.29</v>
      </c>
      <c r="X60" s="70">
        <f>ROUND(IF(V60=0,IF(U60=0,0,1),U60/V60),5)</f>
        <v>0.96801999999999999</v>
      </c>
      <c r="Y60" s="71">
        <f>ROUND(SUM(Y56:Y59),5)</f>
        <v>17941.45</v>
      </c>
      <c r="Z60" s="69">
        <f>ROUND(SUM(Z56:Z59),5)</f>
        <v>17612.04</v>
      </c>
      <c r="AA60" s="69">
        <f>ROUND((Y60-Z60),5)</f>
        <v>329.41</v>
      </c>
      <c r="AB60" s="70">
        <f>ROUND(IF(Z60=0,IF(Y60=0,0,1),Y60/Z60),5)</f>
        <v>1.0186999999999999</v>
      </c>
      <c r="AC60" s="71">
        <f>ROUND(SUM(AC56:AC59),5)</f>
        <v>14517.16</v>
      </c>
      <c r="AD60" s="69">
        <f>ROUND(SUM(AD56:AD59),5)</f>
        <v>17300</v>
      </c>
      <c r="AE60" s="69">
        <f>ROUND((AC60-AD60),5)</f>
        <v>-2782.84</v>
      </c>
      <c r="AF60" s="70">
        <f>ROUND(IF(AD60=0,IF(AC60=0,0,1),AC60/AD60),5)</f>
        <v>0.83914</v>
      </c>
      <c r="AG60" s="72">
        <f t="shared" si="61"/>
        <v>100996.41</v>
      </c>
      <c r="AH60" s="72">
        <f t="shared" si="61"/>
        <v>107010.2</v>
      </c>
      <c r="AI60" s="72">
        <f>ROUND((AG60-AH60),5)</f>
        <v>-6013.79</v>
      </c>
      <c r="AJ60" s="73">
        <f>ROUND(IF(AH60=0,IF(AG60=0,0,1),AG60/AH60),5)</f>
        <v>0.94379999999999997</v>
      </c>
      <c r="AK60" s="57">
        <f t="shared" si="60"/>
        <v>16832.735000000001</v>
      </c>
      <c r="AL60" s="58"/>
      <c r="AM60" s="58">
        <f t="shared" si="57"/>
        <v>18162.039999999997</v>
      </c>
      <c r="AN60" s="58">
        <f t="shared" si="58"/>
        <v>17508.026666666668</v>
      </c>
    </row>
    <row r="61" spans="1:40" ht="15" customHeight="1" x14ac:dyDescent="0.25">
      <c r="A61" s="32"/>
      <c r="B61" s="32"/>
      <c r="C61" s="32"/>
      <c r="D61" s="32"/>
      <c r="E61" s="32"/>
      <c r="F61" s="32" t="s">
        <v>74</v>
      </c>
      <c r="G61" s="32"/>
      <c r="H61" s="32"/>
      <c r="I61" s="52"/>
      <c r="J61" s="52"/>
      <c r="K61" s="52"/>
      <c r="L61" s="53"/>
      <c r="M61" s="54"/>
      <c r="N61" s="52"/>
      <c r="O61" s="52"/>
      <c r="P61" s="53"/>
      <c r="Q61" s="54"/>
      <c r="R61" s="52"/>
      <c r="S61" s="52"/>
      <c r="T61" s="53"/>
      <c r="U61" s="54"/>
      <c r="V61" s="52"/>
      <c r="W61" s="52"/>
      <c r="X61" s="53"/>
      <c r="Y61" s="54"/>
      <c r="Z61" s="52"/>
      <c r="AA61" s="52"/>
      <c r="AB61" s="53"/>
      <c r="AC61" s="54"/>
      <c r="AD61" s="52"/>
      <c r="AE61" s="52"/>
      <c r="AF61" s="53"/>
      <c r="AG61" s="55"/>
      <c r="AH61" s="55"/>
      <c r="AI61" s="55"/>
      <c r="AJ61" s="56"/>
      <c r="AK61" s="57" t="e">
        <f t="shared" si="60"/>
        <v>#DIV/0!</v>
      </c>
      <c r="AL61" s="58"/>
      <c r="AM61" s="58" t="e">
        <f t="shared" si="57"/>
        <v>#DIV/0!</v>
      </c>
      <c r="AN61" s="58" t="e">
        <f t="shared" si="58"/>
        <v>#DIV/0!</v>
      </c>
    </row>
    <row r="62" spans="1:40" ht="15" customHeight="1" x14ac:dyDescent="0.25">
      <c r="A62" s="32"/>
      <c r="B62" s="32"/>
      <c r="C62" s="32"/>
      <c r="D62" s="32"/>
      <c r="E62" s="32"/>
      <c r="F62" s="32"/>
      <c r="G62" s="32" t="s">
        <v>170</v>
      </c>
      <c r="H62" s="32"/>
      <c r="I62" s="52">
        <v>0</v>
      </c>
      <c r="J62" s="52"/>
      <c r="K62" s="52"/>
      <c r="L62" s="53"/>
      <c r="M62" s="54">
        <v>0</v>
      </c>
      <c r="N62" s="52"/>
      <c r="O62" s="52"/>
      <c r="P62" s="53"/>
      <c r="Q62" s="54">
        <v>0</v>
      </c>
      <c r="R62" s="52"/>
      <c r="S62" s="52"/>
      <c r="T62" s="53"/>
      <c r="U62" s="54">
        <v>0</v>
      </c>
      <c r="V62" s="52"/>
      <c r="W62" s="52"/>
      <c r="X62" s="53"/>
      <c r="Y62" s="54">
        <v>0</v>
      </c>
      <c r="Z62" s="52"/>
      <c r="AA62" s="52"/>
      <c r="AB62" s="53"/>
      <c r="AC62" s="54">
        <v>5082.2299999999996</v>
      </c>
      <c r="AD62" s="52"/>
      <c r="AE62" s="52"/>
      <c r="AF62" s="53"/>
      <c r="AG62" s="55">
        <f>ROUND(I62+M62+Q62+U62+Y62+AC62,5)</f>
        <v>5082.2299999999996</v>
      </c>
      <c r="AH62" s="55"/>
      <c r="AI62" s="55"/>
      <c r="AJ62" s="56"/>
      <c r="AK62" s="57">
        <f t="shared" si="60"/>
        <v>847.0383333333333</v>
      </c>
      <c r="AL62" s="58"/>
      <c r="AM62" s="58" t="e">
        <f t="shared" si="57"/>
        <v>#DIV/0!</v>
      </c>
      <c r="AN62" s="58" t="e">
        <f t="shared" si="58"/>
        <v>#DIV/0!</v>
      </c>
    </row>
    <row r="63" spans="1:40" ht="15" customHeight="1" x14ac:dyDescent="0.25">
      <c r="A63" s="32"/>
      <c r="B63" s="32"/>
      <c r="C63" s="32"/>
      <c r="D63" s="32"/>
      <c r="E63" s="32"/>
      <c r="F63" s="32"/>
      <c r="G63" s="32" t="s">
        <v>75</v>
      </c>
      <c r="H63" s="32"/>
      <c r="I63" s="52"/>
      <c r="J63" s="52"/>
      <c r="K63" s="52"/>
      <c r="L63" s="53"/>
      <c r="M63" s="54"/>
      <c r="N63" s="52"/>
      <c r="O63" s="52"/>
      <c r="P63" s="53"/>
      <c r="Q63" s="54"/>
      <c r="R63" s="52"/>
      <c r="S63" s="52"/>
      <c r="T63" s="53"/>
      <c r="U63" s="54"/>
      <c r="V63" s="52"/>
      <c r="W63" s="52"/>
      <c r="X63" s="53"/>
      <c r="Y63" s="54"/>
      <c r="Z63" s="52"/>
      <c r="AA63" s="52"/>
      <c r="AB63" s="53"/>
      <c r="AC63" s="54"/>
      <c r="AD63" s="52"/>
      <c r="AE63" s="52"/>
      <c r="AF63" s="53"/>
      <c r="AG63" s="55"/>
      <c r="AH63" s="55"/>
      <c r="AI63" s="55"/>
      <c r="AJ63" s="56"/>
      <c r="AK63" s="57" t="e">
        <f t="shared" si="60"/>
        <v>#DIV/0!</v>
      </c>
      <c r="AL63" s="58"/>
      <c r="AM63" s="58" t="e">
        <f t="shared" si="57"/>
        <v>#DIV/0!</v>
      </c>
      <c r="AN63" s="58" t="e">
        <f t="shared" si="58"/>
        <v>#DIV/0!</v>
      </c>
    </row>
    <row r="64" spans="1:40" ht="15" customHeight="1" x14ac:dyDescent="0.25">
      <c r="A64" s="32"/>
      <c r="B64" s="32"/>
      <c r="C64" s="32"/>
      <c r="D64" s="32"/>
      <c r="E64" s="32"/>
      <c r="F64" s="32"/>
      <c r="G64" s="32"/>
      <c r="H64" s="32" t="s">
        <v>76</v>
      </c>
      <c r="I64" s="52">
        <v>0</v>
      </c>
      <c r="J64" s="52">
        <v>900</v>
      </c>
      <c r="K64" s="52">
        <f t="shared" ref="K64:K70" si="62">ROUND((I64-J64),5)</f>
        <v>-900</v>
      </c>
      <c r="L64" s="53">
        <f t="shared" ref="L64:L70" si="63">ROUND(IF(J64=0,IF(I64=0,0,1),I64/J64),5)</f>
        <v>0</v>
      </c>
      <c r="M64" s="54">
        <v>0</v>
      </c>
      <c r="N64" s="52">
        <v>900</v>
      </c>
      <c r="O64" s="52">
        <f>ROUND((M64-N64),5)</f>
        <v>-900</v>
      </c>
      <c r="P64" s="53">
        <f>ROUND(IF(N64=0,IF(M64=0,0,1),M64/N64),5)</f>
        <v>0</v>
      </c>
      <c r="Q64" s="54">
        <v>0</v>
      </c>
      <c r="R64" s="52">
        <v>0</v>
      </c>
      <c r="S64" s="52">
        <f>ROUND((Q64-R64),5)</f>
        <v>0</v>
      </c>
      <c r="T64" s="53">
        <f>ROUND(IF(R64=0,IF(Q64=0,0,1),Q64/R64),5)</f>
        <v>0</v>
      </c>
      <c r="U64" s="54">
        <v>0</v>
      </c>
      <c r="V64" s="52">
        <v>900</v>
      </c>
      <c r="W64" s="52">
        <f>ROUND((U64-V64),5)</f>
        <v>-900</v>
      </c>
      <c r="X64" s="53">
        <f>ROUND(IF(V64=0,IF(U64=0,0,1),U64/V64),5)</f>
        <v>0</v>
      </c>
      <c r="Y64" s="54">
        <v>0</v>
      </c>
      <c r="Z64" s="52">
        <v>900</v>
      </c>
      <c r="AA64" s="52">
        <f>ROUND((Y64-Z64),5)</f>
        <v>-900</v>
      </c>
      <c r="AB64" s="53">
        <f>ROUND(IF(Z64=0,IF(Y64=0,0,1),Y64/Z64),5)</f>
        <v>0</v>
      </c>
      <c r="AC64" s="54">
        <v>0</v>
      </c>
      <c r="AD64" s="52">
        <v>0</v>
      </c>
      <c r="AE64" s="52">
        <f>ROUND((AC64-AD64),5)</f>
        <v>0</v>
      </c>
      <c r="AF64" s="53">
        <f>ROUND(IF(AD64=0,IF(AC64=0,0,1),AC64/AD64),5)</f>
        <v>0</v>
      </c>
      <c r="AG64" s="55">
        <f t="shared" ref="AG64:AH70" si="64">ROUND(I64+M64+Q64+U64+Y64+AC64,5)</f>
        <v>0</v>
      </c>
      <c r="AH64" s="55">
        <f t="shared" si="64"/>
        <v>3600</v>
      </c>
      <c r="AI64" s="55">
        <f t="shared" ref="AI64:AI70" si="65">ROUND((AG64-AH64),5)</f>
        <v>-3600</v>
      </c>
      <c r="AJ64" s="56">
        <f t="shared" ref="AJ64:AJ70" si="66">ROUND(IF(AH64=0,IF(AG64=0,0,1),AG64/AH64),5)</f>
        <v>0</v>
      </c>
      <c r="AK64" s="57">
        <f t="shared" si="60"/>
        <v>0</v>
      </c>
      <c r="AL64" s="58"/>
      <c r="AM64" s="58">
        <f t="shared" si="57"/>
        <v>600</v>
      </c>
      <c r="AN64" s="58">
        <f t="shared" si="58"/>
        <v>600</v>
      </c>
    </row>
    <row r="65" spans="1:40" ht="15" customHeight="1" x14ac:dyDescent="0.25">
      <c r="A65" s="32"/>
      <c r="B65" s="32"/>
      <c r="C65" s="32"/>
      <c r="D65" s="32"/>
      <c r="E65" s="32"/>
      <c r="F65" s="32"/>
      <c r="G65" s="32"/>
      <c r="H65" s="32" t="s">
        <v>77</v>
      </c>
      <c r="I65" s="52">
        <v>13779.54</v>
      </c>
      <c r="J65" s="52">
        <v>12816</v>
      </c>
      <c r="K65" s="52">
        <f t="shared" si="62"/>
        <v>963.54</v>
      </c>
      <c r="L65" s="53">
        <f t="shared" si="63"/>
        <v>1.07518</v>
      </c>
      <c r="M65" s="54">
        <v>15259.86</v>
      </c>
      <c r="N65" s="52">
        <v>15321.6</v>
      </c>
      <c r="O65" s="52">
        <f>ROUND((M65-N65),5)</f>
        <v>-61.74</v>
      </c>
      <c r="P65" s="53">
        <f>ROUND(IF(N65=0,IF(M65=0,0,1),M65/N65),5)</f>
        <v>0.99597000000000002</v>
      </c>
      <c r="Q65" s="54">
        <v>15655.52</v>
      </c>
      <c r="R65" s="52">
        <v>15321.6</v>
      </c>
      <c r="S65" s="52">
        <f>ROUND((Q65-R65),5)</f>
        <v>333.92</v>
      </c>
      <c r="T65" s="53">
        <f>ROUND(IF(R65=0,IF(Q65=0,0,1),Q65/R65),5)</f>
        <v>1.02179</v>
      </c>
      <c r="U65" s="54">
        <v>16797.330000000002</v>
      </c>
      <c r="V65" s="52">
        <v>15934.44</v>
      </c>
      <c r="W65" s="52">
        <f>ROUND((U65-V65),5)</f>
        <v>862.89</v>
      </c>
      <c r="X65" s="53">
        <f>ROUND(IF(V65=0,IF(U65=0,0,1),U65/V65),5)</f>
        <v>1.0541499999999999</v>
      </c>
      <c r="Y65" s="54">
        <v>16804.55</v>
      </c>
      <c r="Z65" s="52">
        <v>15934.44</v>
      </c>
      <c r="AA65" s="52">
        <f>ROUND((Y65-Z65),5)</f>
        <v>870.11</v>
      </c>
      <c r="AB65" s="53">
        <f>ROUND(IF(Z65=0,IF(Y65=0,0,1),Y65/Z65),5)</f>
        <v>1.05461</v>
      </c>
      <c r="AC65" s="54">
        <v>4477.3500000000004</v>
      </c>
      <c r="AD65" s="52">
        <v>16772</v>
      </c>
      <c r="AE65" s="52">
        <f>ROUND((AC65-AD65),5)</f>
        <v>-12294.65</v>
      </c>
      <c r="AF65" s="53">
        <f>ROUND(IF(AD65=0,IF(AC65=0,0,1),AC65/AD65),5)</f>
        <v>0.26695000000000002</v>
      </c>
      <c r="AG65" s="55">
        <f t="shared" si="64"/>
        <v>82774.149999999994</v>
      </c>
      <c r="AH65" s="55">
        <f t="shared" si="64"/>
        <v>92100.08</v>
      </c>
      <c r="AI65" s="55">
        <f t="shared" si="65"/>
        <v>-9325.93</v>
      </c>
      <c r="AJ65" s="56">
        <f t="shared" si="66"/>
        <v>0.89873999999999998</v>
      </c>
      <c r="AK65" s="57">
        <f t="shared" si="60"/>
        <v>13795.691666666668</v>
      </c>
      <c r="AL65" s="58"/>
      <c r="AM65" s="58">
        <f t="shared" si="57"/>
        <v>14486.4</v>
      </c>
      <c r="AN65" s="58">
        <f t="shared" si="58"/>
        <v>16213.626666666669</v>
      </c>
    </row>
    <row r="66" spans="1:40" ht="15" customHeight="1" x14ac:dyDescent="0.25">
      <c r="A66" s="32"/>
      <c r="B66" s="32"/>
      <c r="C66" s="32"/>
      <c r="D66" s="32"/>
      <c r="E66" s="32"/>
      <c r="F66" s="32"/>
      <c r="G66" s="32"/>
      <c r="H66" s="32" t="s">
        <v>171</v>
      </c>
      <c r="I66" s="52">
        <v>0</v>
      </c>
      <c r="J66" s="52">
        <v>0</v>
      </c>
      <c r="K66" s="52">
        <f t="shared" si="62"/>
        <v>0</v>
      </c>
      <c r="L66" s="53">
        <f t="shared" si="63"/>
        <v>0</v>
      </c>
      <c r="M66" s="54">
        <v>0</v>
      </c>
      <c r="N66" s="52">
        <v>0</v>
      </c>
      <c r="O66" s="52">
        <f>ROUND((M66-N66),5)</f>
        <v>0</v>
      </c>
      <c r="P66" s="53">
        <f>ROUND(IF(N66=0,IF(M66=0,0,1),M66/N66),5)</f>
        <v>0</v>
      </c>
      <c r="Q66" s="54">
        <v>0</v>
      </c>
      <c r="R66" s="52"/>
      <c r="S66" s="52"/>
      <c r="T66" s="53"/>
      <c r="U66" s="54">
        <v>0</v>
      </c>
      <c r="V66" s="52"/>
      <c r="W66" s="52"/>
      <c r="X66" s="53"/>
      <c r="Y66" s="54">
        <v>0</v>
      </c>
      <c r="Z66" s="52"/>
      <c r="AA66" s="52"/>
      <c r="AB66" s="53"/>
      <c r="AC66" s="54">
        <v>0</v>
      </c>
      <c r="AD66" s="52"/>
      <c r="AE66" s="52"/>
      <c r="AF66" s="53"/>
      <c r="AG66" s="55">
        <f t="shared" si="64"/>
        <v>0</v>
      </c>
      <c r="AH66" s="55">
        <f t="shared" si="64"/>
        <v>0</v>
      </c>
      <c r="AI66" s="55">
        <f t="shared" si="65"/>
        <v>0</v>
      </c>
      <c r="AJ66" s="56">
        <f t="shared" si="66"/>
        <v>0</v>
      </c>
      <c r="AK66" s="57">
        <f t="shared" si="60"/>
        <v>0</v>
      </c>
      <c r="AL66" s="58"/>
      <c r="AM66" s="58">
        <f t="shared" si="57"/>
        <v>0</v>
      </c>
      <c r="AN66" s="58" t="e">
        <f t="shared" si="58"/>
        <v>#DIV/0!</v>
      </c>
    </row>
    <row r="67" spans="1:40" ht="15" customHeight="1" x14ac:dyDescent="0.25">
      <c r="A67" s="32"/>
      <c r="B67" s="32"/>
      <c r="C67" s="32"/>
      <c r="D67" s="32"/>
      <c r="E67" s="32"/>
      <c r="F67" s="32"/>
      <c r="G67" s="32"/>
      <c r="H67" s="32" t="s">
        <v>172</v>
      </c>
      <c r="I67" s="52">
        <v>0</v>
      </c>
      <c r="J67" s="52">
        <v>0</v>
      </c>
      <c r="K67" s="52">
        <f t="shared" si="62"/>
        <v>0</v>
      </c>
      <c r="L67" s="53">
        <f t="shared" si="63"/>
        <v>0</v>
      </c>
      <c r="M67" s="54">
        <v>0</v>
      </c>
      <c r="N67" s="52"/>
      <c r="O67" s="52"/>
      <c r="P67" s="53"/>
      <c r="Q67" s="54">
        <v>0</v>
      </c>
      <c r="R67" s="52"/>
      <c r="S67" s="52"/>
      <c r="T67" s="53"/>
      <c r="U67" s="54">
        <v>0</v>
      </c>
      <c r="V67" s="52"/>
      <c r="W67" s="52"/>
      <c r="X67" s="53"/>
      <c r="Y67" s="54">
        <v>0</v>
      </c>
      <c r="Z67" s="52"/>
      <c r="AA67" s="52"/>
      <c r="AB67" s="53"/>
      <c r="AC67" s="54">
        <v>0</v>
      </c>
      <c r="AD67" s="52"/>
      <c r="AE67" s="52"/>
      <c r="AF67" s="53"/>
      <c r="AG67" s="55">
        <f t="shared" si="64"/>
        <v>0</v>
      </c>
      <c r="AH67" s="55">
        <f t="shared" si="64"/>
        <v>0</v>
      </c>
      <c r="AI67" s="55">
        <f t="shared" si="65"/>
        <v>0</v>
      </c>
      <c r="AJ67" s="56">
        <f t="shared" si="66"/>
        <v>0</v>
      </c>
      <c r="AK67" s="57">
        <f t="shared" si="60"/>
        <v>0</v>
      </c>
      <c r="AL67" s="58"/>
      <c r="AM67" s="58">
        <f t="shared" si="57"/>
        <v>0</v>
      </c>
      <c r="AN67" s="58" t="e">
        <f t="shared" si="58"/>
        <v>#DIV/0!</v>
      </c>
    </row>
    <row r="68" spans="1:40" ht="15" customHeight="1" x14ac:dyDescent="0.25">
      <c r="A68" s="32"/>
      <c r="B68" s="32"/>
      <c r="C68" s="32"/>
      <c r="D68" s="32"/>
      <c r="E68" s="32"/>
      <c r="F68" s="32"/>
      <c r="G68" s="32"/>
      <c r="H68" s="32" t="s">
        <v>78</v>
      </c>
      <c r="I68" s="52">
        <v>4407.42</v>
      </c>
      <c r="J68" s="52">
        <v>4500</v>
      </c>
      <c r="K68" s="52">
        <f t="shared" si="62"/>
        <v>-92.58</v>
      </c>
      <c r="L68" s="53">
        <f t="shared" si="63"/>
        <v>0.97943000000000002</v>
      </c>
      <c r="M68" s="54">
        <v>4303.33</v>
      </c>
      <c r="N68" s="52">
        <v>4976.76</v>
      </c>
      <c r="O68" s="52">
        <f>ROUND((M68-N68),5)</f>
        <v>-673.43</v>
      </c>
      <c r="P68" s="53">
        <f>ROUND(IF(N68=0,IF(M68=0,0,1),M68/N68),5)</f>
        <v>0.86468999999999996</v>
      </c>
      <c r="Q68" s="54">
        <v>4163.5600000000004</v>
      </c>
      <c r="R68" s="52">
        <v>4976.04</v>
      </c>
      <c r="S68" s="52">
        <f>ROUND((Q68-R68),5)</f>
        <v>-812.48</v>
      </c>
      <c r="T68" s="53">
        <f>ROUND(IF(R68=0,IF(Q68=0,0,1),Q68/R68),5)</f>
        <v>0.83672000000000002</v>
      </c>
      <c r="U68" s="54">
        <v>4625.42</v>
      </c>
      <c r="V68" s="52">
        <v>4976.76</v>
      </c>
      <c r="W68" s="52">
        <f>ROUND((U68-V68),5)</f>
        <v>-351.34</v>
      </c>
      <c r="X68" s="53">
        <f>ROUND(IF(V68=0,IF(U68=0,0,1),U68/V68),5)</f>
        <v>0.9294</v>
      </c>
      <c r="Y68" s="54">
        <v>4839.3900000000003</v>
      </c>
      <c r="Z68" s="52">
        <v>4976.76</v>
      </c>
      <c r="AA68" s="52">
        <f>ROUND((Y68-Z68),5)</f>
        <v>-137.37</v>
      </c>
      <c r="AB68" s="53">
        <f>ROUND(IF(Z68=0,IF(Y68=0,0,1),Y68/Z68),5)</f>
        <v>0.97240000000000004</v>
      </c>
      <c r="AC68" s="54">
        <v>2001.63</v>
      </c>
      <c r="AD68" s="52">
        <v>4928</v>
      </c>
      <c r="AE68" s="52">
        <f>ROUND((AC68-AD68),5)</f>
        <v>-2926.37</v>
      </c>
      <c r="AF68" s="53">
        <f>ROUND(IF(AD68=0,IF(AC68=0,0,1),AC68/AD68),5)</f>
        <v>0.40616999999999998</v>
      </c>
      <c r="AG68" s="55">
        <f t="shared" si="64"/>
        <v>24340.75</v>
      </c>
      <c r="AH68" s="55">
        <f t="shared" si="64"/>
        <v>29334.32</v>
      </c>
      <c r="AI68" s="55">
        <f t="shared" si="65"/>
        <v>-4993.57</v>
      </c>
      <c r="AJ68" s="56">
        <f t="shared" si="66"/>
        <v>0.82977000000000001</v>
      </c>
      <c r="AK68" s="57">
        <f t="shared" si="60"/>
        <v>4056.7916666666674</v>
      </c>
      <c r="AL68" s="58"/>
      <c r="AM68" s="58">
        <f t="shared" si="57"/>
        <v>4817.5999999999995</v>
      </c>
      <c r="AN68" s="58">
        <f t="shared" si="58"/>
        <v>4960.5066666666671</v>
      </c>
    </row>
    <row r="69" spans="1:40" ht="15" customHeight="1" x14ac:dyDescent="0.25">
      <c r="A69" s="32"/>
      <c r="B69" s="32"/>
      <c r="C69" s="32"/>
      <c r="D69" s="32"/>
      <c r="E69" s="32"/>
      <c r="F69" s="32"/>
      <c r="G69" s="32"/>
      <c r="H69" s="32" t="s">
        <v>79</v>
      </c>
      <c r="I69" s="52">
        <v>67294.929999999993</v>
      </c>
      <c r="J69" s="52">
        <v>64101.120000000003</v>
      </c>
      <c r="K69" s="52">
        <f t="shared" si="62"/>
        <v>3193.81</v>
      </c>
      <c r="L69" s="53">
        <f t="shared" si="63"/>
        <v>1.04982</v>
      </c>
      <c r="M69" s="54">
        <v>71096.91</v>
      </c>
      <c r="N69" s="52">
        <v>71069.88</v>
      </c>
      <c r="O69" s="52">
        <f>ROUND((M69-N69),5)</f>
        <v>27.03</v>
      </c>
      <c r="P69" s="53">
        <f>ROUND(IF(N69=0,IF(M69=0,0,1),M69/N69),5)</f>
        <v>1.00038</v>
      </c>
      <c r="Q69" s="54">
        <v>75126.960000000006</v>
      </c>
      <c r="R69" s="52">
        <v>73727.520000000004</v>
      </c>
      <c r="S69" s="52">
        <f>ROUND((Q69-R69),5)</f>
        <v>1399.44</v>
      </c>
      <c r="T69" s="53">
        <f>ROUND(IF(R69=0,IF(Q69=0,0,1),Q69/R69),5)</f>
        <v>1.01898</v>
      </c>
      <c r="U69" s="54">
        <v>77071.259999999995</v>
      </c>
      <c r="V69" s="52">
        <v>78211.08</v>
      </c>
      <c r="W69" s="52">
        <f>ROUND((U69-V69),5)</f>
        <v>-1139.82</v>
      </c>
      <c r="X69" s="53">
        <f>ROUND(IF(V69=0,IF(U69=0,0,1),U69/V69),5)</f>
        <v>0.98543000000000003</v>
      </c>
      <c r="Y69" s="54">
        <v>80292.36</v>
      </c>
      <c r="Z69" s="52">
        <v>80557.440000000002</v>
      </c>
      <c r="AA69" s="52">
        <f>ROUND((Y69-Z69),5)</f>
        <v>-265.08</v>
      </c>
      <c r="AB69" s="53">
        <f>ROUND(IF(Z69=0,IF(Y69=0,0,1),Y69/Z69),5)</f>
        <v>0.99670999999999998</v>
      </c>
      <c r="AC69" s="54">
        <v>67263.12</v>
      </c>
      <c r="AD69" s="52">
        <v>82130</v>
      </c>
      <c r="AE69" s="52">
        <f>ROUND((AC69-AD69),5)</f>
        <v>-14866.88</v>
      </c>
      <c r="AF69" s="53">
        <f>ROUND(IF(AD69=0,IF(AC69=0,0,1),AC69/AD69),5)</f>
        <v>0.81898000000000004</v>
      </c>
      <c r="AG69" s="55">
        <f t="shared" si="64"/>
        <v>438145.54</v>
      </c>
      <c r="AH69" s="55">
        <f t="shared" si="64"/>
        <v>449797.04</v>
      </c>
      <c r="AI69" s="55">
        <f t="shared" si="65"/>
        <v>-11651.5</v>
      </c>
      <c r="AJ69" s="56">
        <f t="shared" si="66"/>
        <v>0.97409999999999997</v>
      </c>
      <c r="AK69" s="57">
        <f t="shared" si="60"/>
        <v>73024.256666666668</v>
      </c>
      <c r="AL69" s="58"/>
      <c r="AM69" s="58">
        <f t="shared" ref="AM69:AM100" si="67">AVERAGE(J69,N69,R69)</f>
        <v>69632.840000000011</v>
      </c>
      <c r="AN69" s="58">
        <f t="shared" ref="AN69:AN100" si="68">AVERAGE(V69,Z69,AD69)</f>
        <v>80299.506666666668</v>
      </c>
    </row>
    <row r="70" spans="1:40" ht="15" customHeight="1" x14ac:dyDescent="0.25">
      <c r="A70" s="32"/>
      <c r="B70" s="32"/>
      <c r="C70" s="32"/>
      <c r="D70" s="32"/>
      <c r="E70" s="32"/>
      <c r="F70" s="32"/>
      <c r="G70" s="32"/>
      <c r="H70" s="32" t="s">
        <v>80</v>
      </c>
      <c r="I70" s="52">
        <v>500</v>
      </c>
      <c r="J70" s="52">
        <v>500</v>
      </c>
      <c r="K70" s="52">
        <f t="shared" si="62"/>
        <v>0</v>
      </c>
      <c r="L70" s="53">
        <f t="shared" si="63"/>
        <v>1</v>
      </c>
      <c r="M70" s="54">
        <v>500</v>
      </c>
      <c r="N70" s="52">
        <v>500</v>
      </c>
      <c r="O70" s="52">
        <f>ROUND((M70-N70),5)</f>
        <v>0</v>
      </c>
      <c r="P70" s="53">
        <f>ROUND(IF(N70=0,IF(M70=0,0,1),M70/N70),5)</f>
        <v>1</v>
      </c>
      <c r="Q70" s="54">
        <v>500</v>
      </c>
      <c r="R70" s="52">
        <v>500</v>
      </c>
      <c r="S70" s="52">
        <f>ROUND((Q70-R70),5)</f>
        <v>0</v>
      </c>
      <c r="T70" s="53">
        <f>ROUND(IF(R70=0,IF(Q70=0,0,1),Q70/R70),5)</f>
        <v>1</v>
      </c>
      <c r="U70" s="54">
        <v>500</v>
      </c>
      <c r="V70" s="52">
        <v>500</v>
      </c>
      <c r="W70" s="52">
        <f>ROUND((U70-V70),5)</f>
        <v>0</v>
      </c>
      <c r="X70" s="53">
        <f>ROUND(IF(V70=0,IF(U70=0,0,1),U70/V70),5)</f>
        <v>1</v>
      </c>
      <c r="Y70" s="54">
        <v>500</v>
      </c>
      <c r="Z70" s="52">
        <v>500.04</v>
      </c>
      <c r="AA70" s="52">
        <f>ROUND((Y70-Z70),5)</f>
        <v>-0.04</v>
      </c>
      <c r="AB70" s="53">
        <f>ROUND(IF(Z70=0,IF(Y70=0,0,1),Y70/Z70),5)</f>
        <v>0.99992000000000003</v>
      </c>
      <c r="AC70" s="54">
        <v>500</v>
      </c>
      <c r="AD70" s="52">
        <v>500</v>
      </c>
      <c r="AE70" s="52">
        <f>ROUND((AC70-AD70),5)</f>
        <v>0</v>
      </c>
      <c r="AF70" s="53">
        <f>ROUND(IF(AD70=0,IF(AC70=0,0,1),AC70/AD70),5)</f>
        <v>1</v>
      </c>
      <c r="AG70" s="55">
        <f t="shared" si="64"/>
        <v>3000</v>
      </c>
      <c r="AH70" s="55">
        <f t="shared" si="64"/>
        <v>3000.04</v>
      </c>
      <c r="AI70" s="55">
        <f t="shared" si="65"/>
        <v>-0.04</v>
      </c>
      <c r="AJ70" s="56">
        <f t="shared" si="66"/>
        <v>0.99999000000000005</v>
      </c>
      <c r="AK70" s="57">
        <f t="shared" si="60"/>
        <v>500</v>
      </c>
      <c r="AL70" s="58"/>
      <c r="AM70" s="58">
        <f t="shared" si="67"/>
        <v>500</v>
      </c>
      <c r="AN70" s="58">
        <f t="shared" si="68"/>
        <v>500.01333333333332</v>
      </c>
    </row>
    <row r="71" spans="1:40" ht="15.75" customHeight="1" x14ac:dyDescent="0.25">
      <c r="A71" s="32"/>
      <c r="B71" s="32"/>
      <c r="C71" s="32"/>
      <c r="D71" s="32"/>
      <c r="E71" s="32"/>
      <c r="F71" s="32"/>
      <c r="G71" s="32"/>
      <c r="H71" s="32" t="s">
        <v>173</v>
      </c>
      <c r="I71" s="59">
        <v>0</v>
      </c>
      <c r="J71" s="59"/>
      <c r="K71" s="59"/>
      <c r="L71" s="60"/>
      <c r="M71" s="61">
        <v>0</v>
      </c>
      <c r="N71" s="59"/>
      <c r="O71" s="59"/>
      <c r="P71" s="60"/>
      <c r="Q71" s="61">
        <v>0</v>
      </c>
      <c r="R71" s="59"/>
      <c r="S71" s="59"/>
      <c r="T71" s="60"/>
      <c r="U71" s="61">
        <v>0</v>
      </c>
      <c r="V71" s="59"/>
      <c r="W71" s="59"/>
      <c r="X71" s="60"/>
      <c r="Y71" s="61">
        <v>0</v>
      </c>
      <c r="Z71" s="59"/>
      <c r="AA71" s="59"/>
      <c r="AB71" s="60"/>
      <c r="AC71" s="61">
        <v>205.32</v>
      </c>
      <c r="AD71" s="59"/>
      <c r="AE71" s="59"/>
      <c r="AF71" s="60"/>
      <c r="AG71" s="62">
        <f>ROUND(I71+M71+Q71+U71+Y71+AC71,5)</f>
        <v>205.32</v>
      </c>
      <c r="AH71" s="62"/>
      <c r="AI71" s="62"/>
      <c r="AJ71" s="63"/>
      <c r="AK71" s="57">
        <f t="shared" si="60"/>
        <v>34.22</v>
      </c>
      <c r="AL71" s="58"/>
      <c r="AM71" s="58" t="e">
        <f t="shared" si="67"/>
        <v>#DIV/0!</v>
      </c>
      <c r="AN71" s="58" t="e">
        <f t="shared" si="68"/>
        <v>#DIV/0!</v>
      </c>
    </row>
    <row r="72" spans="1:40" ht="15" customHeight="1" x14ac:dyDescent="0.25">
      <c r="A72" s="32"/>
      <c r="B72" s="32"/>
      <c r="C72" s="32"/>
      <c r="D72" s="32"/>
      <c r="E72" s="32"/>
      <c r="F72" s="32"/>
      <c r="G72" s="32" t="s">
        <v>81</v>
      </c>
      <c r="H72" s="32"/>
      <c r="I72" s="69">
        <f>ROUND(SUM(I63:I71),5)</f>
        <v>85981.89</v>
      </c>
      <c r="J72" s="69">
        <f>ROUND(SUM(J63:J71),5)</f>
        <v>82817.119999999995</v>
      </c>
      <c r="K72" s="69">
        <f>ROUND((I72-J72),5)</f>
        <v>3164.77</v>
      </c>
      <c r="L72" s="70">
        <f>ROUND(IF(J72=0,IF(I72=0,0,1),I72/J72),5)</f>
        <v>1.0382100000000001</v>
      </c>
      <c r="M72" s="71">
        <f>ROUND(SUM(M63:M71),5)</f>
        <v>91160.1</v>
      </c>
      <c r="N72" s="69">
        <f>ROUND(SUM(N63:N71),5)</f>
        <v>92768.24</v>
      </c>
      <c r="O72" s="69">
        <f>ROUND((M72-N72),5)</f>
        <v>-1608.14</v>
      </c>
      <c r="P72" s="70">
        <f>ROUND(IF(N72=0,IF(M72=0,0,1),M72/N72),5)</f>
        <v>0.98265999999999998</v>
      </c>
      <c r="Q72" s="71">
        <f>ROUND(SUM(Q63:Q71),5)</f>
        <v>95446.04</v>
      </c>
      <c r="R72" s="69">
        <f>ROUND(SUM(R63:R71),5)</f>
        <v>94525.16</v>
      </c>
      <c r="S72" s="69">
        <f>ROUND((Q72-R72),5)</f>
        <v>920.88</v>
      </c>
      <c r="T72" s="70">
        <f>ROUND(IF(R72=0,IF(Q72=0,0,1),Q72/R72),5)</f>
        <v>1.0097400000000001</v>
      </c>
      <c r="U72" s="71">
        <f>ROUND(SUM(U63:U71),5)</f>
        <v>98994.01</v>
      </c>
      <c r="V72" s="69">
        <f>ROUND(SUM(V63:V71),5)</f>
        <v>100522.28</v>
      </c>
      <c r="W72" s="69">
        <f>ROUND((U72-V72),5)</f>
        <v>-1528.27</v>
      </c>
      <c r="X72" s="70">
        <f>ROUND(IF(V72=0,IF(U72=0,0,1),U72/V72),5)</f>
        <v>0.98480000000000001</v>
      </c>
      <c r="Y72" s="71">
        <f>ROUND(SUM(Y63:Y71),5)</f>
        <v>102436.3</v>
      </c>
      <c r="Z72" s="69">
        <f>ROUND(SUM(Z63:Z71),5)</f>
        <v>102868.68</v>
      </c>
      <c r="AA72" s="69">
        <f>ROUND((Y72-Z72),5)</f>
        <v>-432.38</v>
      </c>
      <c r="AB72" s="70">
        <f>ROUND(IF(Z72=0,IF(Y72=0,0,1),Y72/Z72),5)</f>
        <v>0.99580000000000002</v>
      </c>
      <c r="AC72" s="71">
        <f>ROUND(SUM(AC63:AC71),5)</f>
        <v>74447.42</v>
      </c>
      <c r="AD72" s="69">
        <f>ROUND(SUM(AD63:AD71),5)</f>
        <v>104330</v>
      </c>
      <c r="AE72" s="69">
        <f>ROUND((AC72-AD72),5)</f>
        <v>-29882.58</v>
      </c>
      <c r="AF72" s="70">
        <f>ROUND(IF(AD72=0,IF(AC72=0,0,1),AC72/AD72),5)</f>
        <v>0.71357999999999999</v>
      </c>
      <c r="AG72" s="72">
        <f>ROUND(I72+M72+Q72+U72+Y72+AC72,5)</f>
        <v>548465.76</v>
      </c>
      <c r="AH72" s="72">
        <f>ROUND(J72+N72+R72+V72+Z72+AD72,5)</f>
        <v>577831.48</v>
      </c>
      <c r="AI72" s="72">
        <f>ROUND((AG72-AH72),5)</f>
        <v>-29365.72</v>
      </c>
      <c r="AJ72" s="73">
        <f>ROUND(IF(AH72=0,IF(AG72=0,0,1),AG72/AH72),5)</f>
        <v>0.94918000000000002</v>
      </c>
      <c r="AK72" s="57">
        <f t="shared" si="60"/>
        <v>91410.96</v>
      </c>
      <c r="AL72" s="58"/>
      <c r="AM72" s="58">
        <f t="shared" si="67"/>
        <v>90036.840000000011</v>
      </c>
      <c r="AN72" s="58">
        <f t="shared" si="68"/>
        <v>102573.65333333332</v>
      </c>
    </row>
    <row r="73" spans="1:40" ht="15" customHeight="1" x14ac:dyDescent="0.25">
      <c r="A73" s="32"/>
      <c r="B73" s="32"/>
      <c r="C73" s="32"/>
      <c r="D73" s="32"/>
      <c r="E73" s="32"/>
      <c r="F73" s="32"/>
      <c r="G73" s="32" t="s">
        <v>174</v>
      </c>
      <c r="H73" s="32"/>
      <c r="I73" s="52"/>
      <c r="J73" s="52"/>
      <c r="K73" s="52"/>
      <c r="L73" s="53"/>
      <c r="M73" s="54"/>
      <c r="N73" s="52"/>
      <c r="O73" s="52"/>
      <c r="P73" s="53"/>
      <c r="Q73" s="54"/>
      <c r="R73" s="52"/>
      <c r="S73" s="52"/>
      <c r="T73" s="53"/>
      <c r="U73" s="54"/>
      <c r="V73" s="52"/>
      <c r="W73" s="52"/>
      <c r="X73" s="53"/>
      <c r="Y73" s="54"/>
      <c r="Z73" s="52"/>
      <c r="AA73" s="52"/>
      <c r="AB73" s="53"/>
      <c r="AC73" s="54"/>
      <c r="AD73" s="52"/>
      <c r="AE73" s="52"/>
      <c r="AF73" s="53"/>
      <c r="AG73" s="55"/>
      <c r="AH73" s="55"/>
      <c r="AI73" s="55"/>
      <c r="AJ73" s="56"/>
      <c r="AK73" s="57" t="e">
        <f t="shared" si="60"/>
        <v>#DIV/0!</v>
      </c>
      <c r="AL73" s="58"/>
      <c r="AM73" s="58" t="e">
        <f t="shared" si="67"/>
        <v>#DIV/0!</v>
      </c>
      <c r="AN73" s="58" t="e">
        <f t="shared" si="68"/>
        <v>#DIV/0!</v>
      </c>
    </row>
    <row r="74" spans="1:40" ht="15" customHeight="1" x14ac:dyDescent="0.25">
      <c r="A74" s="32"/>
      <c r="B74" s="32"/>
      <c r="C74" s="32"/>
      <c r="D74" s="32"/>
      <c r="E74" s="32"/>
      <c r="F74" s="32"/>
      <c r="G74" s="32"/>
      <c r="H74" s="32" t="s">
        <v>83</v>
      </c>
      <c r="I74" s="52">
        <v>300</v>
      </c>
      <c r="J74" s="52">
        <v>0</v>
      </c>
      <c r="K74" s="52">
        <f t="shared" ref="K74:K82" si="69">ROUND((I74-J74),5)</f>
        <v>300</v>
      </c>
      <c r="L74" s="53">
        <f t="shared" ref="L74:L82" si="70">ROUND(IF(J74=0,IF(I74=0,0,1),I74/J74),5)</f>
        <v>1</v>
      </c>
      <c r="M74" s="54">
        <v>600</v>
      </c>
      <c r="N74" s="52">
        <v>600</v>
      </c>
      <c r="O74" s="52">
        <f t="shared" ref="O74:O86" si="71">ROUND((M74-N74),5)</f>
        <v>0</v>
      </c>
      <c r="P74" s="53">
        <f t="shared" ref="P74:P86" si="72">ROUND(IF(N74=0,IF(M74=0,0,1),M74/N74),5)</f>
        <v>1</v>
      </c>
      <c r="Q74" s="54">
        <v>600</v>
      </c>
      <c r="R74" s="52">
        <v>600</v>
      </c>
      <c r="S74" s="52">
        <f>ROUND((Q74-R74),5)</f>
        <v>0</v>
      </c>
      <c r="T74" s="53">
        <f>ROUND(IF(R74=0,IF(Q74=0,0,1),Q74/R74),5)</f>
        <v>1</v>
      </c>
      <c r="U74" s="54">
        <v>600</v>
      </c>
      <c r="V74" s="52">
        <v>600</v>
      </c>
      <c r="W74" s="52">
        <f>ROUND((U74-V74),5)</f>
        <v>0</v>
      </c>
      <c r="X74" s="53">
        <f>ROUND(IF(V74=0,IF(U74=0,0,1),U74/V74),5)</f>
        <v>1</v>
      </c>
      <c r="Y74" s="54">
        <v>750</v>
      </c>
      <c r="Z74" s="52">
        <v>600</v>
      </c>
      <c r="AA74" s="52">
        <f>ROUND((Y74-Z74),5)</f>
        <v>150</v>
      </c>
      <c r="AB74" s="53">
        <f>ROUND(IF(Z74=0,IF(Y74=0,0,1),Y74/Z74),5)</f>
        <v>1.25</v>
      </c>
      <c r="AC74" s="54">
        <v>712.5</v>
      </c>
      <c r="AD74" s="52">
        <v>900</v>
      </c>
      <c r="AE74" s="52">
        <f>ROUND((AC74-AD74),5)</f>
        <v>-187.5</v>
      </c>
      <c r="AF74" s="53">
        <f>ROUND(IF(AD74=0,IF(AC74=0,0,1),AC74/AD74),5)</f>
        <v>0.79166999999999998</v>
      </c>
      <c r="AG74" s="55">
        <f t="shared" ref="AG74:AG86" si="73">ROUND(I74+M74+Q74+U74+Y74+AC74,5)</f>
        <v>3562.5</v>
      </c>
      <c r="AH74" s="55">
        <f t="shared" ref="AH74:AH86" si="74">ROUND(J74+N74+R74+V74+Z74+AD74,5)</f>
        <v>3300</v>
      </c>
      <c r="AI74" s="55">
        <f t="shared" ref="AI74:AI86" si="75">ROUND((AG74-AH74),5)</f>
        <v>262.5</v>
      </c>
      <c r="AJ74" s="56">
        <f t="shared" ref="AJ74:AJ86" si="76">ROUND(IF(AH74=0,IF(AG74=0,0,1),AG74/AH74),5)</f>
        <v>1.07955</v>
      </c>
      <c r="AK74" s="57">
        <f t="shared" si="60"/>
        <v>593.75</v>
      </c>
      <c r="AL74" s="58"/>
      <c r="AM74" s="58">
        <f t="shared" si="67"/>
        <v>400</v>
      </c>
      <c r="AN74" s="58">
        <f t="shared" si="68"/>
        <v>700</v>
      </c>
    </row>
    <row r="75" spans="1:40" ht="15" customHeight="1" x14ac:dyDescent="0.25">
      <c r="A75" s="32"/>
      <c r="B75" s="32"/>
      <c r="C75" s="32"/>
      <c r="D75" s="32"/>
      <c r="E75" s="32"/>
      <c r="F75" s="32"/>
      <c r="G75" s="32"/>
      <c r="H75" s="32" t="s">
        <v>84</v>
      </c>
      <c r="I75" s="52">
        <v>384.82</v>
      </c>
      <c r="J75" s="52">
        <v>1500</v>
      </c>
      <c r="K75" s="52">
        <f t="shared" si="69"/>
        <v>-1115.18</v>
      </c>
      <c r="L75" s="53">
        <f t="shared" si="70"/>
        <v>0.25655</v>
      </c>
      <c r="M75" s="54">
        <v>1496.51</v>
      </c>
      <c r="N75" s="52">
        <v>1500</v>
      </c>
      <c r="O75" s="52">
        <f t="shared" si="71"/>
        <v>-3.49</v>
      </c>
      <c r="P75" s="53">
        <f t="shared" si="72"/>
        <v>0.99766999999999995</v>
      </c>
      <c r="Q75" s="54">
        <v>1200</v>
      </c>
      <c r="R75" s="52">
        <v>1200</v>
      </c>
      <c r="S75" s="52">
        <f>ROUND((Q75-R75),5)</f>
        <v>0</v>
      </c>
      <c r="T75" s="53">
        <f>ROUND(IF(R75=0,IF(Q75=0,0,1),Q75/R75),5)</f>
        <v>1</v>
      </c>
      <c r="U75" s="54">
        <v>243.77</v>
      </c>
      <c r="V75" s="52">
        <v>900</v>
      </c>
      <c r="W75" s="52">
        <f>ROUND((U75-V75),5)</f>
        <v>-656.23</v>
      </c>
      <c r="X75" s="53">
        <f>ROUND(IF(V75=0,IF(U75=0,0,1),U75/V75),5)</f>
        <v>0.27085999999999999</v>
      </c>
      <c r="Y75" s="54">
        <v>80.400000000000006</v>
      </c>
      <c r="Z75" s="52">
        <v>900</v>
      </c>
      <c r="AA75" s="52">
        <f>ROUND((Y75-Z75),5)</f>
        <v>-819.6</v>
      </c>
      <c r="AB75" s="53">
        <f>ROUND(IF(Z75=0,IF(Y75=0,0,1),Y75/Z75),5)</f>
        <v>8.9330000000000007E-2</v>
      </c>
      <c r="AC75" s="54">
        <v>90</v>
      </c>
      <c r="AD75" s="52">
        <v>0</v>
      </c>
      <c r="AE75" s="52">
        <f>ROUND((AC75-AD75),5)</f>
        <v>90</v>
      </c>
      <c r="AF75" s="53">
        <f>ROUND(IF(AD75=0,IF(AC75=0,0,1),AC75/AD75),5)</f>
        <v>1</v>
      </c>
      <c r="AG75" s="55">
        <f t="shared" si="73"/>
        <v>3495.5</v>
      </c>
      <c r="AH75" s="55">
        <f t="shared" si="74"/>
        <v>6000</v>
      </c>
      <c r="AI75" s="55">
        <f t="shared" si="75"/>
        <v>-2504.5</v>
      </c>
      <c r="AJ75" s="56">
        <f t="shared" si="76"/>
        <v>0.58257999999999999</v>
      </c>
      <c r="AK75" s="57">
        <f t="shared" si="60"/>
        <v>582.58333333333337</v>
      </c>
      <c r="AL75" s="58"/>
      <c r="AM75" s="58">
        <f t="shared" si="67"/>
        <v>1400</v>
      </c>
      <c r="AN75" s="58">
        <f t="shared" si="68"/>
        <v>600</v>
      </c>
    </row>
    <row r="76" spans="1:40" ht="15" customHeight="1" x14ac:dyDescent="0.25">
      <c r="A76" s="32"/>
      <c r="B76" s="32"/>
      <c r="C76" s="32"/>
      <c r="D76" s="32"/>
      <c r="E76" s="32"/>
      <c r="F76" s="32"/>
      <c r="G76" s="32"/>
      <c r="H76" s="32" t="s">
        <v>85</v>
      </c>
      <c r="I76" s="52">
        <v>10082.219999999999</v>
      </c>
      <c r="J76" s="52">
        <v>9384.1200000000008</v>
      </c>
      <c r="K76" s="52">
        <f t="shared" si="69"/>
        <v>698.1</v>
      </c>
      <c r="L76" s="53">
        <f t="shared" si="70"/>
        <v>1.07439</v>
      </c>
      <c r="M76" s="54">
        <v>11465.19</v>
      </c>
      <c r="N76" s="52">
        <v>11210.64</v>
      </c>
      <c r="O76" s="52">
        <f t="shared" si="71"/>
        <v>254.55</v>
      </c>
      <c r="P76" s="53">
        <f t="shared" si="72"/>
        <v>1.02271</v>
      </c>
      <c r="Q76" s="54">
        <v>11181.72</v>
      </c>
      <c r="R76" s="52">
        <v>11210.64</v>
      </c>
      <c r="S76" s="52">
        <f>ROUND((Q76-R76),5)</f>
        <v>-28.92</v>
      </c>
      <c r="T76" s="53">
        <f>ROUND(IF(R76=0,IF(Q76=0,0,1),Q76/R76),5)</f>
        <v>0.99741999999999997</v>
      </c>
      <c r="U76" s="54">
        <v>11686.77</v>
      </c>
      <c r="V76" s="52">
        <v>11658.96</v>
      </c>
      <c r="W76" s="52">
        <f>ROUND((U76-V76),5)</f>
        <v>27.81</v>
      </c>
      <c r="X76" s="53">
        <f>ROUND(IF(V76=0,IF(U76=0,0,1),U76/V76),5)</f>
        <v>1.0023899999999999</v>
      </c>
      <c r="Y76" s="54">
        <v>11913.34</v>
      </c>
      <c r="Z76" s="52">
        <v>11658.96</v>
      </c>
      <c r="AA76" s="52">
        <f>ROUND((Y76-Z76),5)</f>
        <v>254.38</v>
      </c>
      <c r="AB76" s="53">
        <f>ROUND(IF(Z76=0,IF(Y76=0,0,1),Y76/Z76),5)</f>
        <v>1.02182</v>
      </c>
      <c r="AC76" s="54">
        <v>3172.76</v>
      </c>
      <c r="AD76" s="52">
        <v>11880</v>
      </c>
      <c r="AE76" s="52">
        <f>ROUND((AC76-AD76),5)</f>
        <v>-8707.24</v>
      </c>
      <c r="AF76" s="53">
        <f>ROUND(IF(AD76=0,IF(AC76=0,0,1),AC76/AD76),5)</f>
        <v>0.26706999999999997</v>
      </c>
      <c r="AG76" s="55">
        <f t="shared" si="73"/>
        <v>59502</v>
      </c>
      <c r="AH76" s="55">
        <f t="shared" si="74"/>
        <v>67003.320000000007</v>
      </c>
      <c r="AI76" s="55">
        <f t="shared" si="75"/>
        <v>-7501.32</v>
      </c>
      <c r="AJ76" s="56">
        <f t="shared" si="76"/>
        <v>0.88805000000000001</v>
      </c>
      <c r="AK76" s="57">
        <f t="shared" si="60"/>
        <v>9916.9999999999982</v>
      </c>
      <c r="AL76" s="58"/>
      <c r="AM76" s="58">
        <f t="shared" si="67"/>
        <v>10601.800000000001</v>
      </c>
      <c r="AN76" s="58">
        <f t="shared" si="68"/>
        <v>11732.64</v>
      </c>
    </row>
    <row r="77" spans="1:40" ht="15" customHeight="1" x14ac:dyDescent="0.25">
      <c r="A77" s="32"/>
      <c r="B77" s="32"/>
      <c r="C77" s="32"/>
      <c r="D77" s="32"/>
      <c r="E77" s="32"/>
      <c r="F77" s="32"/>
      <c r="G77" s="32"/>
      <c r="H77" s="32" t="s">
        <v>175</v>
      </c>
      <c r="I77" s="52">
        <v>0</v>
      </c>
      <c r="J77" s="52">
        <v>0</v>
      </c>
      <c r="K77" s="52">
        <f t="shared" si="69"/>
        <v>0</v>
      </c>
      <c r="L77" s="53">
        <f t="shared" si="70"/>
        <v>0</v>
      </c>
      <c r="M77" s="54">
        <v>0</v>
      </c>
      <c r="N77" s="52">
        <v>0</v>
      </c>
      <c r="O77" s="52">
        <f t="shared" si="71"/>
        <v>0</v>
      </c>
      <c r="P77" s="53">
        <f t="shared" si="72"/>
        <v>0</v>
      </c>
      <c r="Q77" s="54">
        <v>0</v>
      </c>
      <c r="R77" s="52"/>
      <c r="S77" s="52"/>
      <c r="T77" s="53"/>
      <c r="U77" s="54">
        <v>0</v>
      </c>
      <c r="V77" s="52"/>
      <c r="W77" s="52"/>
      <c r="X77" s="53"/>
      <c r="Y77" s="54">
        <v>0</v>
      </c>
      <c r="Z77" s="52"/>
      <c r="AA77" s="52"/>
      <c r="AB77" s="53"/>
      <c r="AC77" s="54">
        <v>0</v>
      </c>
      <c r="AD77" s="52"/>
      <c r="AE77" s="52"/>
      <c r="AF77" s="53"/>
      <c r="AG77" s="55">
        <f t="shared" si="73"/>
        <v>0</v>
      </c>
      <c r="AH77" s="55">
        <f t="shared" si="74"/>
        <v>0</v>
      </c>
      <c r="AI77" s="55">
        <f t="shared" si="75"/>
        <v>0</v>
      </c>
      <c r="AJ77" s="56">
        <f t="shared" si="76"/>
        <v>0</v>
      </c>
      <c r="AK77" s="57">
        <f t="shared" si="60"/>
        <v>0</v>
      </c>
      <c r="AL77" s="58"/>
      <c r="AM77" s="58">
        <f t="shared" si="67"/>
        <v>0</v>
      </c>
      <c r="AN77" s="58" t="e">
        <f t="shared" si="68"/>
        <v>#DIV/0!</v>
      </c>
    </row>
    <row r="78" spans="1:40" ht="15" customHeight="1" x14ac:dyDescent="0.25">
      <c r="A78" s="32"/>
      <c r="B78" s="32"/>
      <c r="C78" s="32"/>
      <c r="D78" s="32"/>
      <c r="E78" s="32"/>
      <c r="F78" s="32"/>
      <c r="G78" s="32"/>
      <c r="H78" s="32" t="s">
        <v>86</v>
      </c>
      <c r="I78" s="52">
        <v>3263.55</v>
      </c>
      <c r="J78" s="52">
        <v>3000</v>
      </c>
      <c r="K78" s="52">
        <f t="shared" si="69"/>
        <v>263.55</v>
      </c>
      <c r="L78" s="53">
        <f t="shared" si="70"/>
        <v>1.08785</v>
      </c>
      <c r="M78" s="54">
        <v>635.05999999999995</v>
      </c>
      <c r="N78" s="52">
        <v>3000</v>
      </c>
      <c r="O78" s="52">
        <f t="shared" si="71"/>
        <v>-2364.94</v>
      </c>
      <c r="P78" s="53">
        <f t="shared" si="72"/>
        <v>0.21168999999999999</v>
      </c>
      <c r="Q78" s="54">
        <v>1337.32</v>
      </c>
      <c r="R78" s="52">
        <v>2000.04</v>
      </c>
      <c r="S78" s="52">
        <f t="shared" ref="S78:S86" si="77">ROUND((Q78-R78),5)</f>
        <v>-662.72</v>
      </c>
      <c r="T78" s="53">
        <f t="shared" ref="T78:T86" si="78">ROUND(IF(R78=0,IF(Q78=0,0,1),Q78/R78),5)</f>
        <v>0.66864999999999997</v>
      </c>
      <c r="U78" s="54">
        <v>507.6</v>
      </c>
      <c r="V78" s="52">
        <v>2000.04</v>
      </c>
      <c r="W78" s="52">
        <f t="shared" ref="W78:W86" si="79">ROUND((U78-V78),5)</f>
        <v>-1492.44</v>
      </c>
      <c r="X78" s="53">
        <f t="shared" ref="X78:X86" si="80">ROUND(IF(V78=0,IF(U78=0,0,1),U78/V78),5)</f>
        <v>0.25379000000000002</v>
      </c>
      <c r="Y78" s="54">
        <v>0</v>
      </c>
      <c r="Z78" s="52">
        <v>2000.04</v>
      </c>
      <c r="AA78" s="52">
        <f>ROUND((Y78-Z78),5)</f>
        <v>-2000.04</v>
      </c>
      <c r="AB78" s="53">
        <f>ROUND(IF(Z78=0,IF(Y78=0,0,1),Y78/Z78),5)</f>
        <v>0</v>
      </c>
      <c r="AC78" s="54">
        <v>0</v>
      </c>
      <c r="AD78" s="52">
        <v>0</v>
      </c>
      <c r="AE78" s="52">
        <f>ROUND((AC78-AD78),5)</f>
        <v>0</v>
      </c>
      <c r="AF78" s="53">
        <f>ROUND(IF(AD78=0,IF(AC78=0,0,1),AC78/AD78),5)</f>
        <v>0</v>
      </c>
      <c r="AG78" s="55">
        <f t="shared" si="73"/>
        <v>5743.53</v>
      </c>
      <c r="AH78" s="55">
        <f t="shared" si="74"/>
        <v>12000.12</v>
      </c>
      <c r="AI78" s="55">
        <f t="shared" si="75"/>
        <v>-6256.59</v>
      </c>
      <c r="AJ78" s="56">
        <f t="shared" si="76"/>
        <v>0.47861999999999999</v>
      </c>
      <c r="AK78" s="57">
        <f t="shared" si="60"/>
        <v>957.25500000000011</v>
      </c>
      <c r="AL78" s="58"/>
      <c r="AM78" s="58">
        <f t="shared" si="67"/>
        <v>2666.68</v>
      </c>
      <c r="AN78" s="58">
        <f t="shared" si="68"/>
        <v>1333.36</v>
      </c>
    </row>
    <row r="79" spans="1:40" ht="15" customHeight="1" x14ac:dyDescent="0.25">
      <c r="A79" s="32"/>
      <c r="B79" s="32"/>
      <c r="C79" s="32"/>
      <c r="D79" s="32"/>
      <c r="E79" s="32"/>
      <c r="F79" s="32"/>
      <c r="G79" s="32"/>
      <c r="H79" s="32" t="s">
        <v>176</v>
      </c>
      <c r="I79" s="52">
        <v>289.82</v>
      </c>
      <c r="J79" s="52">
        <v>0</v>
      </c>
      <c r="K79" s="52">
        <f t="shared" si="69"/>
        <v>289.82</v>
      </c>
      <c r="L79" s="53">
        <f t="shared" si="70"/>
        <v>1</v>
      </c>
      <c r="M79" s="54">
        <v>445</v>
      </c>
      <c r="N79" s="52">
        <v>300</v>
      </c>
      <c r="O79" s="52">
        <f t="shared" si="71"/>
        <v>145</v>
      </c>
      <c r="P79" s="53">
        <f t="shared" si="72"/>
        <v>1.48333</v>
      </c>
      <c r="Q79" s="54">
        <v>26.06</v>
      </c>
      <c r="R79" s="52">
        <v>300</v>
      </c>
      <c r="S79" s="52">
        <f t="shared" si="77"/>
        <v>-273.94</v>
      </c>
      <c r="T79" s="53">
        <f t="shared" si="78"/>
        <v>8.6870000000000003E-2</v>
      </c>
      <c r="U79" s="54">
        <v>0</v>
      </c>
      <c r="V79" s="52">
        <v>300</v>
      </c>
      <c r="W79" s="52">
        <f t="shared" si="79"/>
        <v>-300</v>
      </c>
      <c r="X79" s="53">
        <f t="shared" si="80"/>
        <v>0</v>
      </c>
      <c r="Y79" s="54">
        <v>0</v>
      </c>
      <c r="Z79" s="52">
        <v>300</v>
      </c>
      <c r="AA79" s="52">
        <f>ROUND((Y79-Z79),5)</f>
        <v>-300</v>
      </c>
      <c r="AB79" s="53">
        <f>ROUND(IF(Z79=0,IF(Y79=0,0,1),Y79/Z79),5)</f>
        <v>0</v>
      </c>
      <c r="AC79" s="54">
        <v>0</v>
      </c>
      <c r="AD79" s="52">
        <v>0</v>
      </c>
      <c r="AE79" s="52">
        <f>ROUND((AC79-AD79),5)</f>
        <v>0</v>
      </c>
      <c r="AF79" s="53">
        <f>ROUND(IF(AD79=0,IF(AC79=0,0,1),AC79/AD79),5)</f>
        <v>0</v>
      </c>
      <c r="AG79" s="55">
        <f t="shared" si="73"/>
        <v>760.88</v>
      </c>
      <c r="AH79" s="55">
        <f t="shared" si="74"/>
        <v>1200</v>
      </c>
      <c r="AI79" s="55">
        <f t="shared" si="75"/>
        <v>-439.12</v>
      </c>
      <c r="AJ79" s="56">
        <f t="shared" si="76"/>
        <v>0.63407000000000002</v>
      </c>
      <c r="AK79" s="57">
        <f t="shared" si="60"/>
        <v>126.81333333333332</v>
      </c>
      <c r="AL79" s="58"/>
      <c r="AM79" s="58">
        <f t="shared" si="67"/>
        <v>200</v>
      </c>
      <c r="AN79" s="58">
        <f t="shared" si="68"/>
        <v>200</v>
      </c>
    </row>
    <row r="80" spans="1:40" ht="15" customHeight="1" x14ac:dyDescent="0.25">
      <c r="A80" s="32"/>
      <c r="B80" s="32"/>
      <c r="C80" s="32"/>
      <c r="D80" s="32"/>
      <c r="E80" s="32"/>
      <c r="F80" s="32"/>
      <c r="G80" s="32"/>
      <c r="H80" s="32" t="s">
        <v>87</v>
      </c>
      <c r="I80" s="52">
        <v>2319.1799999999998</v>
      </c>
      <c r="J80" s="52">
        <v>0</v>
      </c>
      <c r="K80" s="52">
        <f t="shared" si="69"/>
        <v>2319.1799999999998</v>
      </c>
      <c r="L80" s="53">
        <f t="shared" si="70"/>
        <v>1</v>
      </c>
      <c r="M80" s="54">
        <v>4167.3599999999997</v>
      </c>
      <c r="N80" s="52">
        <v>4188.96</v>
      </c>
      <c r="O80" s="52">
        <f t="shared" si="71"/>
        <v>-21.6</v>
      </c>
      <c r="P80" s="53">
        <f t="shared" si="72"/>
        <v>0.99483999999999995</v>
      </c>
      <c r="Q80" s="54">
        <v>5247.58</v>
      </c>
      <c r="R80" s="52">
        <v>4188.96</v>
      </c>
      <c r="S80" s="52">
        <f t="shared" si="77"/>
        <v>1058.6199999999999</v>
      </c>
      <c r="T80" s="53">
        <f t="shared" si="78"/>
        <v>1.2527200000000001</v>
      </c>
      <c r="U80" s="54">
        <v>5144.16</v>
      </c>
      <c r="V80" s="52">
        <v>4356.4799999999996</v>
      </c>
      <c r="W80" s="52">
        <f t="shared" si="79"/>
        <v>787.68</v>
      </c>
      <c r="X80" s="53">
        <f t="shared" si="80"/>
        <v>1.1808099999999999</v>
      </c>
      <c r="Y80" s="54">
        <v>5351.67</v>
      </c>
      <c r="Z80" s="52">
        <v>4356.4799999999996</v>
      </c>
      <c r="AA80" s="52">
        <f>ROUND((Y80-Z80),5)</f>
        <v>995.19</v>
      </c>
      <c r="AB80" s="53">
        <f>ROUND(IF(Z80=0,IF(Y80=0,0,1),Y80/Z80),5)</f>
        <v>1.22844</v>
      </c>
      <c r="AC80" s="54">
        <v>2486.21</v>
      </c>
      <c r="AD80" s="52">
        <v>5594</v>
      </c>
      <c r="AE80" s="52">
        <f>ROUND((AC80-AD80),5)</f>
        <v>-3107.79</v>
      </c>
      <c r="AF80" s="53">
        <f>ROUND(IF(AD80=0,IF(AC80=0,0,1),AC80/AD80),5)</f>
        <v>0.44444</v>
      </c>
      <c r="AG80" s="55">
        <f t="shared" si="73"/>
        <v>24716.16</v>
      </c>
      <c r="AH80" s="55">
        <f t="shared" si="74"/>
        <v>22684.880000000001</v>
      </c>
      <c r="AI80" s="55">
        <f t="shared" si="75"/>
        <v>2031.28</v>
      </c>
      <c r="AJ80" s="56">
        <f t="shared" si="76"/>
        <v>1.08954</v>
      </c>
      <c r="AK80" s="57">
        <f t="shared" si="60"/>
        <v>4119.3599999999997</v>
      </c>
      <c r="AL80" s="58"/>
      <c r="AM80" s="58">
        <f t="shared" si="67"/>
        <v>2792.64</v>
      </c>
      <c r="AN80" s="58">
        <f t="shared" si="68"/>
        <v>4768.9866666666667</v>
      </c>
    </row>
    <row r="81" spans="1:40" ht="15" customHeight="1" x14ac:dyDescent="0.25">
      <c r="A81" s="32"/>
      <c r="B81" s="32"/>
      <c r="C81" s="32"/>
      <c r="D81" s="32"/>
      <c r="E81" s="32"/>
      <c r="F81" s="32"/>
      <c r="G81" s="32"/>
      <c r="H81" s="32" t="s">
        <v>88</v>
      </c>
      <c r="I81" s="52">
        <v>60087.53</v>
      </c>
      <c r="J81" s="52">
        <v>57527.040000000001</v>
      </c>
      <c r="K81" s="52">
        <f t="shared" si="69"/>
        <v>2560.4899999999998</v>
      </c>
      <c r="L81" s="53">
        <f t="shared" si="70"/>
        <v>1.04451</v>
      </c>
      <c r="M81" s="54">
        <v>64751.99</v>
      </c>
      <c r="N81" s="52">
        <v>63521.760000000002</v>
      </c>
      <c r="O81" s="52">
        <f t="shared" si="71"/>
        <v>1230.23</v>
      </c>
      <c r="P81" s="53">
        <f t="shared" si="72"/>
        <v>1.0193700000000001</v>
      </c>
      <c r="Q81" s="54">
        <v>67121.62</v>
      </c>
      <c r="R81" s="52">
        <v>63521.760000000002</v>
      </c>
      <c r="S81" s="52">
        <f t="shared" si="77"/>
        <v>3599.86</v>
      </c>
      <c r="T81" s="53">
        <f t="shared" si="78"/>
        <v>1.05667</v>
      </c>
      <c r="U81" s="54">
        <v>74309.820000000007</v>
      </c>
      <c r="V81" s="52">
        <v>71933.759999999995</v>
      </c>
      <c r="W81" s="52">
        <f t="shared" si="79"/>
        <v>2376.06</v>
      </c>
      <c r="X81" s="53">
        <f t="shared" si="80"/>
        <v>1.0330299999999999</v>
      </c>
      <c r="Y81" s="54">
        <v>76232.27</v>
      </c>
      <c r="Z81" s="52">
        <v>74091.72</v>
      </c>
      <c r="AA81" s="52">
        <f>ROUND((Y81-Z81),5)</f>
        <v>2140.5500000000002</v>
      </c>
      <c r="AB81" s="53">
        <f>ROUND(IF(Z81=0,IF(Y81=0,0,1),Y81/Z81),5)</f>
        <v>1.0288900000000001</v>
      </c>
      <c r="AC81" s="54">
        <v>65642.36</v>
      </c>
      <c r="AD81" s="52">
        <v>79908.960000000006</v>
      </c>
      <c r="AE81" s="52">
        <f>ROUND((AC81-AD81),5)</f>
        <v>-14266.6</v>
      </c>
      <c r="AF81" s="53">
        <f>ROUND(IF(AD81=0,IF(AC81=0,0,1),AC81/AD81),5)</f>
        <v>0.82145999999999997</v>
      </c>
      <c r="AG81" s="55">
        <f t="shared" si="73"/>
        <v>408145.59</v>
      </c>
      <c r="AH81" s="55">
        <f t="shared" si="74"/>
        <v>410505</v>
      </c>
      <c r="AI81" s="55">
        <f t="shared" si="75"/>
        <v>-2359.41</v>
      </c>
      <c r="AJ81" s="56">
        <f t="shared" si="76"/>
        <v>0.99424999999999997</v>
      </c>
      <c r="AK81" s="57">
        <f t="shared" ref="AK81:AK98" si="81">AVERAGE(I81,M81,Q81,U81,Y81,AC81)</f>
        <v>68024.264999999999</v>
      </c>
      <c r="AL81" s="58"/>
      <c r="AM81" s="58">
        <f t="shared" si="67"/>
        <v>61523.519999999997</v>
      </c>
      <c r="AN81" s="58">
        <f t="shared" si="68"/>
        <v>75311.48</v>
      </c>
    </row>
    <row r="82" spans="1:40" ht="15" customHeight="1" x14ac:dyDescent="0.25">
      <c r="A82" s="32"/>
      <c r="B82" s="32"/>
      <c r="C82" s="32"/>
      <c r="D82" s="32"/>
      <c r="E82" s="32"/>
      <c r="F82" s="32"/>
      <c r="G82" s="32"/>
      <c r="H82" s="32" t="s">
        <v>89</v>
      </c>
      <c r="I82" s="52">
        <v>500</v>
      </c>
      <c r="J82" s="52">
        <v>500</v>
      </c>
      <c r="K82" s="52">
        <f t="shared" si="69"/>
        <v>0</v>
      </c>
      <c r="L82" s="53">
        <f t="shared" si="70"/>
        <v>1</v>
      </c>
      <c r="M82" s="54">
        <v>500</v>
      </c>
      <c r="N82" s="52">
        <v>500</v>
      </c>
      <c r="O82" s="52">
        <f t="shared" si="71"/>
        <v>0</v>
      </c>
      <c r="P82" s="53">
        <f t="shared" si="72"/>
        <v>1</v>
      </c>
      <c r="Q82" s="54">
        <v>500</v>
      </c>
      <c r="R82" s="52">
        <v>500</v>
      </c>
      <c r="S82" s="52">
        <f t="shared" si="77"/>
        <v>0</v>
      </c>
      <c r="T82" s="53">
        <f t="shared" si="78"/>
        <v>1</v>
      </c>
      <c r="U82" s="54">
        <v>500</v>
      </c>
      <c r="V82" s="52">
        <v>500</v>
      </c>
      <c r="W82" s="52">
        <f t="shared" si="79"/>
        <v>0</v>
      </c>
      <c r="X82" s="53">
        <f t="shared" si="80"/>
        <v>1</v>
      </c>
      <c r="Y82" s="54">
        <v>500</v>
      </c>
      <c r="Z82" s="52">
        <v>500.04</v>
      </c>
      <c r="AA82" s="52">
        <f>ROUND((Y82-Z82),5)</f>
        <v>-0.04</v>
      </c>
      <c r="AB82" s="53">
        <f>ROUND(IF(Z82=0,IF(Y82=0,0,1),Y82/Z82),5)</f>
        <v>0.99992000000000003</v>
      </c>
      <c r="AC82" s="54">
        <v>500</v>
      </c>
      <c r="AD82" s="52">
        <v>500</v>
      </c>
      <c r="AE82" s="52">
        <f>ROUND((AC82-AD82),5)</f>
        <v>0</v>
      </c>
      <c r="AF82" s="53">
        <f>ROUND(IF(AD82=0,IF(AC82=0,0,1),AC82/AD82),5)</f>
        <v>1</v>
      </c>
      <c r="AG82" s="55">
        <f t="shared" si="73"/>
        <v>3000</v>
      </c>
      <c r="AH82" s="55">
        <f t="shared" si="74"/>
        <v>3000.04</v>
      </c>
      <c r="AI82" s="55">
        <f t="shared" si="75"/>
        <v>-0.04</v>
      </c>
      <c r="AJ82" s="56">
        <f t="shared" si="76"/>
        <v>0.99999000000000005</v>
      </c>
      <c r="AK82" s="57">
        <f t="shared" si="81"/>
        <v>500</v>
      </c>
      <c r="AL82" s="58"/>
      <c r="AM82" s="58">
        <f t="shared" si="67"/>
        <v>500</v>
      </c>
      <c r="AN82" s="58">
        <f t="shared" si="68"/>
        <v>500.01333333333332</v>
      </c>
    </row>
    <row r="83" spans="1:40" ht="15.75" customHeight="1" x14ac:dyDescent="0.25">
      <c r="A83" s="32"/>
      <c r="B83" s="32"/>
      <c r="C83" s="32"/>
      <c r="D83" s="32"/>
      <c r="E83" s="32"/>
      <c r="F83" s="32"/>
      <c r="G83" s="32"/>
      <c r="H83" s="32" t="s">
        <v>177</v>
      </c>
      <c r="I83" s="59">
        <v>0</v>
      </c>
      <c r="J83" s="59"/>
      <c r="K83" s="59"/>
      <c r="L83" s="60"/>
      <c r="M83" s="61">
        <v>186.58</v>
      </c>
      <c r="N83" s="59">
        <v>0</v>
      </c>
      <c r="O83" s="59">
        <f t="shared" si="71"/>
        <v>186.58</v>
      </c>
      <c r="P83" s="60">
        <f t="shared" si="72"/>
        <v>1</v>
      </c>
      <c r="Q83" s="61">
        <v>0</v>
      </c>
      <c r="R83" s="59">
        <v>0</v>
      </c>
      <c r="S83" s="59">
        <f t="shared" si="77"/>
        <v>0</v>
      </c>
      <c r="T83" s="60">
        <f t="shared" si="78"/>
        <v>0</v>
      </c>
      <c r="U83" s="61">
        <v>0</v>
      </c>
      <c r="V83" s="59">
        <v>0</v>
      </c>
      <c r="W83" s="59">
        <f t="shared" si="79"/>
        <v>0</v>
      </c>
      <c r="X83" s="60">
        <f t="shared" si="80"/>
        <v>0</v>
      </c>
      <c r="Y83" s="61">
        <v>0</v>
      </c>
      <c r="Z83" s="59"/>
      <c r="AA83" s="59"/>
      <c r="AB83" s="60"/>
      <c r="AC83" s="61">
        <v>0</v>
      </c>
      <c r="AD83" s="59"/>
      <c r="AE83" s="59"/>
      <c r="AF83" s="60"/>
      <c r="AG83" s="62">
        <f t="shared" si="73"/>
        <v>186.58</v>
      </c>
      <c r="AH83" s="62">
        <f t="shared" si="74"/>
        <v>0</v>
      </c>
      <c r="AI83" s="62">
        <f t="shared" si="75"/>
        <v>186.58</v>
      </c>
      <c r="AJ83" s="63">
        <f t="shared" si="76"/>
        <v>1</v>
      </c>
      <c r="AK83" s="57">
        <f t="shared" si="81"/>
        <v>31.096666666666668</v>
      </c>
      <c r="AL83" s="58"/>
      <c r="AM83" s="58">
        <f t="shared" si="67"/>
        <v>0</v>
      </c>
      <c r="AN83" s="58">
        <f t="shared" si="68"/>
        <v>0</v>
      </c>
    </row>
    <row r="84" spans="1:40" ht="15.75" customHeight="1" x14ac:dyDescent="0.25">
      <c r="A84" s="32"/>
      <c r="B84" s="32"/>
      <c r="C84" s="32"/>
      <c r="D84" s="32"/>
      <c r="E84" s="32"/>
      <c r="F84" s="32"/>
      <c r="G84" s="32" t="s">
        <v>178</v>
      </c>
      <c r="H84" s="32"/>
      <c r="I84" s="64">
        <f>ROUND(SUM(I73:I83),5)</f>
        <v>77227.12</v>
      </c>
      <c r="J84" s="64">
        <f>ROUND(SUM(J73:J83),5)</f>
        <v>71911.16</v>
      </c>
      <c r="K84" s="64">
        <f>ROUND((I84-J84),5)</f>
        <v>5315.96</v>
      </c>
      <c r="L84" s="65">
        <f>ROUND(IF(J84=0,IF(I84=0,0,1),I84/J84),5)</f>
        <v>1.07392</v>
      </c>
      <c r="M84" s="66">
        <f>ROUND(SUM(M73:M83),5)</f>
        <v>84247.69</v>
      </c>
      <c r="N84" s="64">
        <f>ROUND(SUM(N73:N83),5)</f>
        <v>84821.36</v>
      </c>
      <c r="O84" s="64">
        <f t="shared" si="71"/>
        <v>-573.66999999999996</v>
      </c>
      <c r="P84" s="65">
        <f t="shared" si="72"/>
        <v>0.99324000000000001</v>
      </c>
      <c r="Q84" s="66">
        <f>ROUND(SUM(Q73:Q83),5)</f>
        <v>87214.3</v>
      </c>
      <c r="R84" s="64">
        <f>ROUND(SUM(R73:R83),5)</f>
        <v>83521.399999999994</v>
      </c>
      <c r="S84" s="64">
        <f t="shared" si="77"/>
        <v>3692.9</v>
      </c>
      <c r="T84" s="65">
        <f t="shared" si="78"/>
        <v>1.0442199999999999</v>
      </c>
      <c r="U84" s="66">
        <f>ROUND(SUM(U73:U83),5)</f>
        <v>92992.12</v>
      </c>
      <c r="V84" s="64">
        <f>ROUND(SUM(V73:V83),5)</f>
        <v>92249.24</v>
      </c>
      <c r="W84" s="64">
        <f t="shared" si="79"/>
        <v>742.88</v>
      </c>
      <c r="X84" s="65">
        <f t="shared" si="80"/>
        <v>1.0080499999999999</v>
      </c>
      <c r="Y84" s="66">
        <f>ROUND(SUM(Y73:Y83),5)</f>
        <v>94827.68</v>
      </c>
      <c r="Z84" s="64">
        <f>ROUND(SUM(Z73:Z83),5)</f>
        <v>94407.24</v>
      </c>
      <c r="AA84" s="64">
        <f>ROUND((Y84-Z84),5)</f>
        <v>420.44</v>
      </c>
      <c r="AB84" s="65">
        <f>ROUND(IF(Z84=0,IF(Y84=0,0,1),Y84/Z84),5)</f>
        <v>1.0044500000000001</v>
      </c>
      <c r="AC84" s="66">
        <f>ROUND(SUM(AC73:AC83),5)</f>
        <v>72603.83</v>
      </c>
      <c r="AD84" s="64">
        <f>ROUND(SUM(AD73:AD83),5)</f>
        <v>98782.96</v>
      </c>
      <c r="AE84" s="64">
        <f>ROUND((AC84-AD84),5)</f>
        <v>-26179.13</v>
      </c>
      <c r="AF84" s="65">
        <f>ROUND(IF(AD84=0,IF(AC84=0,0,1),AC84/AD84),5)</f>
        <v>0.73497999999999997</v>
      </c>
      <c r="AG84" s="67">
        <f t="shared" si="73"/>
        <v>509112.74</v>
      </c>
      <c r="AH84" s="67">
        <f t="shared" si="74"/>
        <v>525693.36</v>
      </c>
      <c r="AI84" s="67">
        <f t="shared" si="75"/>
        <v>-16580.62</v>
      </c>
      <c r="AJ84" s="68">
        <f t="shared" si="76"/>
        <v>0.96845999999999999</v>
      </c>
      <c r="AK84" s="57">
        <f t="shared" si="81"/>
        <v>84852.123333333337</v>
      </c>
      <c r="AL84" s="58"/>
      <c r="AM84" s="58">
        <f t="shared" si="67"/>
        <v>80084.639999999999</v>
      </c>
      <c r="AN84" s="58">
        <f t="shared" si="68"/>
        <v>95146.48</v>
      </c>
    </row>
    <row r="85" spans="1:40" ht="15.75" customHeight="1" x14ac:dyDescent="0.25">
      <c r="A85" s="32"/>
      <c r="B85" s="32"/>
      <c r="C85" s="32"/>
      <c r="D85" s="32"/>
      <c r="E85" s="32"/>
      <c r="F85" s="32" t="s">
        <v>179</v>
      </c>
      <c r="G85" s="32"/>
      <c r="H85" s="32"/>
      <c r="I85" s="64">
        <f>ROUND(SUM(I61:I62)+I72+I84,5)</f>
        <v>163209.01</v>
      </c>
      <c r="J85" s="64">
        <f>ROUND(SUM(J61:J62)+J72+J84,5)</f>
        <v>154728.28</v>
      </c>
      <c r="K85" s="64">
        <f>ROUND((I85-J85),5)</f>
        <v>8480.73</v>
      </c>
      <c r="L85" s="65">
        <f>ROUND(IF(J85=0,IF(I85=0,0,1),I85/J85),5)</f>
        <v>1.05481</v>
      </c>
      <c r="M85" s="66">
        <f>ROUND(SUM(M61:M62)+M72+M84,5)</f>
        <v>175407.79</v>
      </c>
      <c r="N85" s="64">
        <f>ROUND(SUM(N61:N62)+N72+N84,5)</f>
        <v>177589.6</v>
      </c>
      <c r="O85" s="64">
        <f t="shared" si="71"/>
        <v>-2181.81</v>
      </c>
      <c r="P85" s="65">
        <f t="shared" si="72"/>
        <v>0.98770999999999998</v>
      </c>
      <c r="Q85" s="66">
        <f>ROUND(SUM(Q61:Q62)+Q72+Q84,5)</f>
        <v>182660.34</v>
      </c>
      <c r="R85" s="64">
        <f>ROUND(SUM(R61:R62)+R72+R84,5)</f>
        <v>178046.56</v>
      </c>
      <c r="S85" s="64">
        <f t="shared" si="77"/>
        <v>4613.78</v>
      </c>
      <c r="T85" s="65">
        <f t="shared" si="78"/>
        <v>1.0259100000000001</v>
      </c>
      <c r="U85" s="66">
        <f>ROUND(SUM(U61:U62)+U72+U84,5)</f>
        <v>191986.13</v>
      </c>
      <c r="V85" s="64">
        <f>ROUND(SUM(V61:V62)+V72+V84,5)</f>
        <v>192771.52</v>
      </c>
      <c r="W85" s="64">
        <f t="shared" si="79"/>
        <v>-785.39</v>
      </c>
      <c r="X85" s="65">
        <f t="shared" si="80"/>
        <v>0.99592999999999998</v>
      </c>
      <c r="Y85" s="66">
        <f>ROUND(SUM(Y61:Y62)+Y72+Y84,5)</f>
        <v>197263.98</v>
      </c>
      <c r="Z85" s="64">
        <f>ROUND(SUM(Z61:Z62)+Z72+Z84,5)</f>
        <v>197275.92</v>
      </c>
      <c r="AA85" s="64">
        <f>ROUND((Y85-Z85),5)</f>
        <v>-11.94</v>
      </c>
      <c r="AB85" s="65">
        <f>ROUND(IF(Z85=0,IF(Y85=0,0,1),Y85/Z85),5)</f>
        <v>0.99994000000000005</v>
      </c>
      <c r="AC85" s="66">
        <f>ROUND(SUM(AC61:AC62)+AC72+AC84,5)</f>
        <v>152133.48000000001</v>
      </c>
      <c r="AD85" s="64">
        <f>ROUND(SUM(AD61:AD62)+AD72+AD84,5)</f>
        <v>203112.95999999999</v>
      </c>
      <c r="AE85" s="64">
        <f>ROUND((AC85-AD85),5)</f>
        <v>-50979.48</v>
      </c>
      <c r="AF85" s="65">
        <f>ROUND(IF(AD85=0,IF(AC85=0,0,1),AC85/AD85),5)</f>
        <v>0.74900999999999995</v>
      </c>
      <c r="AG85" s="67">
        <f t="shared" si="73"/>
        <v>1062660.73</v>
      </c>
      <c r="AH85" s="67">
        <f t="shared" si="74"/>
        <v>1103524.8400000001</v>
      </c>
      <c r="AI85" s="67">
        <f t="shared" si="75"/>
        <v>-40864.11</v>
      </c>
      <c r="AJ85" s="68">
        <f t="shared" si="76"/>
        <v>0.96296999999999999</v>
      </c>
      <c r="AK85" s="57">
        <f t="shared" si="81"/>
        <v>177110.12166666667</v>
      </c>
      <c r="AL85" s="58"/>
      <c r="AM85" s="58">
        <f t="shared" si="67"/>
        <v>170121.48</v>
      </c>
      <c r="AN85" s="58">
        <f t="shared" si="68"/>
        <v>197720.13333333333</v>
      </c>
    </row>
    <row r="86" spans="1:40" ht="15" customHeight="1" x14ac:dyDescent="0.25">
      <c r="A86" s="32"/>
      <c r="B86" s="32"/>
      <c r="C86" s="32"/>
      <c r="D86" s="32"/>
      <c r="E86" s="32" t="s">
        <v>91</v>
      </c>
      <c r="F86" s="32"/>
      <c r="G86" s="32"/>
      <c r="H86" s="32"/>
      <c r="I86" s="69">
        <f>ROUND(I55+I60+I85,5)</f>
        <v>181470.44</v>
      </c>
      <c r="J86" s="69">
        <f>ROUND(J55+J60+J85,5)</f>
        <v>175003.12</v>
      </c>
      <c r="K86" s="69">
        <f>ROUND((I86-J86),5)</f>
        <v>6467.32</v>
      </c>
      <c r="L86" s="70">
        <f>ROUND(IF(J86=0,IF(I86=0,0,1),I86/J86),5)</f>
        <v>1.0369600000000001</v>
      </c>
      <c r="M86" s="71">
        <f>ROUND(M55+M60+M85,5)</f>
        <v>191533.47</v>
      </c>
      <c r="N86" s="69">
        <f>ROUND(N55+N60+N85,5)</f>
        <v>194695.24</v>
      </c>
      <c r="O86" s="69">
        <f t="shared" si="71"/>
        <v>-3161.77</v>
      </c>
      <c r="P86" s="70">
        <f t="shared" si="72"/>
        <v>0.98375999999999997</v>
      </c>
      <c r="Q86" s="71">
        <f>ROUND(Q55+Q60+Q85,5)</f>
        <v>199762.28</v>
      </c>
      <c r="R86" s="69">
        <f>ROUND(R55+R60+R85,5)</f>
        <v>195152.2</v>
      </c>
      <c r="S86" s="69">
        <f t="shared" si="77"/>
        <v>4610.08</v>
      </c>
      <c r="T86" s="70">
        <f t="shared" si="78"/>
        <v>1.02362</v>
      </c>
      <c r="U86" s="71">
        <f>ROUND(U55+U60+U85,5)</f>
        <v>209034.88</v>
      </c>
      <c r="V86" s="69">
        <f>ROUND(V55+V60+V85,5)</f>
        <v>210383.56</v>
      </c>
      <c r="W86" s="69">
        <f t="shared" si="79"/>
        <v>-1348.68</v>
      </c>
      <c r="X86" s="70">
        <f t="shared" si="80"/>
        <v>0.99358999999999997</v>
      </c>
      <c r="Y86" s="71">
        <f>ROUND(Y55+Y60+Y85,5)</f>
        <v>215205.43</v>
      </c>
      <c r="Z86" s="69">
        <f>ROUND(Z55+Z60+Z85,5)</f>
        <v>214887.96</v>
      </c>
      <c r="AA86" s="69">
        <f>ROUND((Y86-Z86),5)</f>
        <v>317.47000000000003</v>
      </c>
      <c r="AB86" s="70">
        <f>ROUND(IF(Z86=0,IF(Y86=0,0,1),Y86/Z86),5)</f>
        <v>1.0014799999999999</v>
      </c>
      <c r="AC86" s="71">
        <f>ROUND(AC55+AC60+AC85,5)</f>
        <v>166650.64000000001</v>
      </c>
      <c r="AD86" s="69">
        <f>ROUND(AD55+AD60+AD85,5)</f>
        <v>220412.96</v>
      </c>
      <c r="AE86" s="69">
        <f>ROUND((AC86-AD86),5)</f>
        <v>-53762.32</v>
      </c>
      <c r="AF86" s="70">
        <f>ROUND(IF(AD86=0,IF(AC86=0,0,1),AC86/AD86),5)</f>
        <v>0.75607999999999997</v>
      </c>
      <c r="AG86" s="72">
        <f t="shared" si="73"/>
        <v>1163657.1399999999</v>
      </c>
      <c r="AH86" s="72">
        <f t="shared" si="74"/>
        <v>1210535.04</v>
      </c>
      <c r="AI86" s="72">
        <f t="shared" si="75"/>
        <v>-46877.9</v>
      </c>
      <c r="AJ86" s="73">
        <f t="shared" si="76"/>
        <v>0.96128000000000002</v>
      </c>
      <c r="AK86" s="57">
        <f t="shared" si="81"/>
        <v>193942.85666666669</v>
      </c>
      <c r="AL86" s="58"/>
      <c r="AM86" s="58">
        <f t="shared" si="67"/>
        <v>188283.52000000002</v>
      </c>
      <c r="AN86" s="58">
        <f t="shared" si="68"/>
        <v>215228.16</v>
      </c>
    </row>
    <row r="87" spans="1:40" ht="15" customHeight="1" x14ac:dyDescent="0.25">
      <c r="A87" s="32"/>
      <c r="B87" s="32"/>
      <c r="C87" s="32"/>
      <c r="D87" s="32"/>
      <c r="E87" s="32" t="s">
        <v>92</v>
      </c>
      <c r="F87" s="32"/>
      <c r="G87" s="32"/>
      <c r="H87" s="32"/>
      <c r="I87" s="52"/>
      <c r="J87" s="52"/>
      <c r="K87" s="52"/>
      <c r="L87" s="53"/>
      <c r="M87" s="54"/>
      <c r="N87" s="52"/>
      <c r="O87" s="52"/>
      <c r="P87" s="53"/>
      <c r="Q87" s="54"/>
      <c r="R87" s="52"/>
      <c r="S87" s="52"/>
      <c r="T87" s="53"/>
      <c r="U87" s="54"/>
      <c r="V87" s="52"/>
      <c r="W87" s="52"/>
      <c r="X87" s="53"/>
      <c r="Y87" s="54"/>
      <c r="Z87" s="52"/>
      <c r="AA87" s="52"/>
      <c r="AB87" s="53"/>
      <c r="AC87" s="54"/>
      <c r="AD87" s="52"/>
      <c r="AE87" s="52"/>
      <c r="AF87" s="53"/>
      <c r="AG87" s="55"/>
      <c r="AH87" s="55"/>
      <c r="AI87" s="55"/>
      <c r="AJ87" s="56"/>
      <c r="AK87" s="57" t="e">
        <f t="shared" si="81"/>
        <v>#DIV/0!</v>
      </c>
      <c r="AL87" s="58"/>
      <c r="AM87" s="58" t="e">
        <f t="shared" si="67"/>
        <v>#DIV/0!</v>
      </c>
      <c r="AN87" s="58" t="e">
        <f t="shared" si="68"/>
        <v>#DIV/0!</v>
      </c>
    </row>
    <row r="88" spans="1:40" ht="15" customHeight="1" x14ac:dyDescent="0.25">
      <c r="A88" s="32"/>
      <c r="B88" s="32"/>
      <c r="C88" s="32"/>
      <c r="D88" s="32"/>
      <c r="E88" s="32"/>
      <c r="F88" s="32" t="s">
        <v>93</v>
      </c>
      <c r="G88" s="32"/>
      <c r="H88" s="32"/>
      <c r="I88" s="52"/>
      <c r="J88" s="52"/>
      <c r="K88" s="52"/>
      <c r="L88" s="53"/>
      <c r="M88" s="54"/>
      <c r="N88" s="52"/>
      <c r="O88" s="52"/>
      <c r="P88" s="53"/>
      <c r="Q88" s="54"/>
      <c r="R88" s="52"/>
      <c r="S88" s="52"/>
      <c r="T88" s="53"/>
      <c r="U88" s="54"/>
      <c r="V88" s="52"/>
      <c r="W88" s="52"/>
      <c r="X88" s="53"/>
      <c r="Y88" s="54"/>
      <c r="Z88" s="52"/>
      <c r="AA88" s="52"/>
      <c r="AB88" s="53"/>
      <c r="AC88" s="54"/>
      <c r="AD88" s="52"/>
      <c r="AE88" s="52"/>
      <c r="AF88" s="53"/>
      <c r="AG88" s="55"/>
      <c r="AH88" s="55"/>
      <c r="AI88" s="55"/>
      <c r="AJ88" s="56"/>
      <c r="AK88" s="57" t="e">
        <f t="shared" si="81"/>
        <v>#DIV/0!</v>
      </c>
      <c r="AL88" s="58"/>
      <c r="AM88" s="58" t="e">
        <f t="shared" si="67"/>
        <v>#DIV/0!</v>
      </c>
      <c r="AN88" s="58" t="e">
        <f t="shared" si="68"/>
        <v>#DIV/0!</v>
      </c>
    </row>
    <row r="89" spans="1:40" ht="15" customHeight="1" x14ac:dyDescent="0.25">
      <c r="A89" s="32"/>
      <c r="B89" s="32"/>
      <c r="C89" s="32"/>
      <c r="D89" s="32"/>
      <c r="E89" s="32"/>
      <c r="F89" s="32"/>
      <c r="G89" s="32" t="s">
        <v>94</v>
      </c>
      <c r="H89" s="32"/>
      <c r="I89" s="52">
        <v>6207.14</v>
      </c>
      <c r="J89" s="52">
        <v>6000</v>
      </c>
      <c r="K89" s="52">
        <f>ROUND((I89-J89),5)</f>
        <v>207.14</v>
      </c>
      <c r="L89" s="53">
        <f>ROUND(IF(J89=0,IF(I89=0,0,1),I89/J89),5)</f>
        <v>1.0345200000000001</v>
      </c>
      <c r="M89" s="54">
        <v>5327.45</v>
      </c>
      <c r="N89" s="52">
        <v>6000</v>
      </c>
      <c r="O89" s="52">
        <f>ROUND((M89-N89),5)</f>
        <v>-672.55</v>
      </c>
      <c r="P89" s="53">
        <f>ROUND(IF(N89=0,IF(M89=0,0,1),M89/N89),5)</f>
        <v>0.88790999999999998</v>
      </c>
      <c r="Q89" s="54">
        <v>4786.66</v>
      </c>
      <c r="R89" s="52">
        <v>5000.04</v>
      </c>
      <c r="S89" s="52">
        <f>ROUND((Q89-R89),5)</f>
        <v>-213.38</v>
      </c>
      <c r="T89" s="53">
        <f>ROUND(IF(R89=0,IF(Q89=0,0,1),Q89/R89),5)</f>
        <v>0.95731999999999995</v>
      </c>
      <c r="U89" s="54">
        <v>0</v>
      </c>
      <c r="V89" s="52">
        <v>0</v>
      </c>
      <c r="W89" s="52">
        <f>ROUND((U89-V89),5)</f>
        <v>0</v>
      </c>
      <c r="X89" s="53">
        <f>ROUND(IF(V89=0,IF(U89=0,0,1),U89/V89),5)</f>
        <v>0</v>
      </c>
      <c r="Y89" s="54">
        <v>2379</v>
      </c>
      <c r="Z89" s="52">
        <v>5000</v>
      </c>
      <c r="AA89" s="52">
        <f>ROUND((Y89-Z89),5)</f>
        <v>-2621</v>
      </c>
      <c r="AB89" s="53">
        <f>ROUND(IF(Z89=0,IF(Y89=0,0,1),Y89/Z89),5)</f>
        <v>0.4758</v>
      </c>
      <c r="AC89" s="54">
        <v>0</v>
      </c>
      <c r="AD89" s="52">
        <v>0</v>
      </c>
      <c r="AE89" s="52">
        <f>ROUND((AC89-AD89),5)</f>
        <v>0</v>
      </c>
      <c r="AF89" s="53">
        <f>ROUND(IF(AD89=0,IF(AC89=0,0,1),AC89/AD89),5)</f>
        <v>0</v>
      </c>
      <c r="AG89" s="55">
        <f t="shared" ref="AG89:AH93" si="82">ROUND(I89+M89+Q89+U89+Y89+AC89,5)</f>
        <v>18700.25</v>
      </c>
      <c r="AH89" s="55">
        <f t="shared" si="82"/>
        <v>22000.04</v>
      </c>
      <c r="AI89" s="55">
        <f>ROUND((AG89-AH89),5)</f>
        <v>-3299.79</v>
      </c>
      <c r="AJ89" s="56">
        <f>ROUND(IF(AH89=0,IF(AG89=0,0,1),AG89/AH89),5)</f>
        <v>0.85001000000000004</v>
      </c>
      <c r="AK89" s="57">
        <f t="shared" si="81"/>
        <v>3116.7083333333335</v>
      </c>
      <c r="AL89" s="58"/>
      <c r="AM89" s="58">
        <f t="shared" si="67"/>
        <v>5666.68</v>
      </c>
      <c r="AN89" s="58">
        <f t="shared" si="68"/>
        <v>1666.6666666666667</v>
      </c>
    </row>
    <row r="90" spans="1:40" ht="15" customHeight="1" x14ac:dyDescent="0.25">
      <c r="A90" s="32"/>
      <c r="B90" s="32"/>
      <c r="C90" s="32"/>
      <c r="D90" s="32"/>
      <c r="E90" s="32"/>
      <c r="F90" s="32"/>
      <c r="G90" s="32" t="s">
        <v>96</v>
      </c>
      <c r="H90" s="32"/>
      <c r="I90" s="52">
        <v>732.6</v>
      </c>
      <c r="J90" s="52">
        <v>999.96</v>
      </c>
      <c r="K90" s="52">
        <f>ROUND((I90-J90),5)</f>
        <v>-267.36</v>
      </c>
      <c r="L90" s="53">
        <f>ROUND(IF(J90=0,IF(I90=0,0,1),I90/J90),5)</f>
        <v>0.73263</v>
      </c>
      <c r="M90" s="54">
        <v>96</v>
      </c>
      <c r="N90" s="52">
        <v>999.96</v>
      </c>
      <c r="O90" s="52">
        <f>ROUND((M90-N90),5)</f>
        <v>-903.96</v>
      </c>
      <c r="P90" s="53">
        <f>ROUND(IF(N90=0,IF(M90=0,0,1),M90/N90),5)</f>
        <v>9.6000000000000002E-2</v>
      </c>
      <c r="Q90" s="54">
        <v>0</v>
      </c>
      <c r="R90" s="52">
        <v>0</v>
      </c>
      <c r="S90" s="52">
        <f>ROUND((Q90-R90),5)</f>
        <v>0</v>
      </c>
      <c r="T90" s="53">
        <f>ROUND(IF(R90=0,IF(Q90=0,0,1),Q90/R90),5)</f>
        <v>0</v>
      </c>
      <c r="U90" s="54">
        <v>0</v>
      </c>
      <c r="V90" s="52">
        <v>0</v>
      </c>
      <c r="W90" s="52">
        <f>ROUND((U90-V90),5)</f>
        <v>0</v>
      </c>
      <c r="X90" s="53">
        <f>ROUND(IF(V90=0,IF(U90=0,0,1),U90/V90),5)</f>
        <v>0</v>
      </c>
      <c r="Y90" s="54">
        <v>0</v>
      </c>
      <c r="Z90" s="52"/>
      <c r="AA90" s="52"/>
      <c r="AB90" s="53"/>
      <c r="AC90" s="54">
        <v>0</v>
      </c>
      <c r="AD90" s="52"/>
      <c r="AE90" s="52"/>
      <c r="AF90" s="53"/>
      <c r="AG90" s="55">
        <f t="shared" si="82"/>
        <v>828.6</v>
      </c>
      <c r="AH90" s="55">
        <f t="shared" si="82"/>
        <v>1999.92</v>
      </c>
      <c r="AI90" s="55">
        <f>ROUND((AG90-AH90),5)</f>
        <v>-1171.32</v>
      </c>
      <c r="AJ90" s="56">
        <f>ROUND(IF(AH90=0,IF(AG90=0,0,1),AG90/AH90),5)</f>
        <v>0.41432000000000002</v>
      </c>
      <c r="AK90" s="57">
        <f t="shared" si="81"/>
        <v>138.1</v>
      </c>
      <c r="AL90" s="58"/>
      <c r="AM90" s="58">
        <f t="shared" si="67"/>
        <v>666.64</v>
      </c>
      <c r="AN90" s="58">
        <f t="shared" si="68"/>
        <v>0</v>
      </c>
    </row>
    <row r="91" spans="1:40" ht="15" customHeight="1" x14ac:dyDescent="0.25">
      <c r="A91" s="32"/>
      <c r="B91" s="32"/>
      <c r="C91" s="32"/>
      <c r="D91" s="32"/>
      <c r="E91" s="32"/>
      <c r="F91" s="32"/>
      <c r="G91" s="32" t="s">
        <v>180</v>
      </c>
      <c r="H91" s="32"/>
      <c r="I91" s="52">
        <v>0</v>
      </c>
      <c r="J91" s="52">
        <v>0</v>
      </c>
      <c r="K91" s="52">
        <f>ROUND((I91-J91),5)</f>
        <v>0</v>
      </c>
      <c r="L91" s="53">
        <f>ROUND(IF(J91=0,IF(I91=0,0,1),I91/J91),5)</f>
        <v>0</v>
      </c>
      <c r="M91" s="54">
        <v>0</v>
      </c>
      <c r="N91" s="52"/>
      <c r="O91" s="52"/>
      <c r="P91" s="53"/>
      <c r="Q91" s="54">
        <v>0</v>
      </c>
      <c r="R91" s="52"/>
      <c r="S91" s="52"/>
      <c r="T91" s="53"/>
      <c r="U91" s="54">
        <v>0</v>
      </c>
      <c r="V91" s="52"/>
      <c r="W91" s="52"/>
      <c r="X91" s="53"/>
      <c r="Y91" s="54">
        <v>0</v>
      </c>
      <c r="Z91" s="52"/>
      <c r="AA91" s="52"/>
      <c r="AB91" s="53"/>
      <c r="AC91" s="54">
        <v>0</v>
      </c>
      <c r="AD91" s="52"/>
      <c r="AE91" s="52"/>
      <c r="AF91" s="53"/>
      <c r="AG91" s="55">
        <f t="shared" si="82"/>
        <v>0</v>
      </c>
      <c r="AH91" s="55">
        <f t="shared" si="82"/>
        <v>0</v>
      </c>
      <c r="AI91" s="55">
        <f>ROUND((AG91-AH91),5)</f>
        <v>0</v>
      </c>
      <c r="AJ91" s="56">
        <f>ROUND(IF(AH91=0,IF(AG91=0,0,1),AG91/AH91),5)</f>
        <v>0</v>
      </c>
      <c r="AK91" s="57">
        <f t="shared" si="81"/>
        <v>0</v>
      </c>
      <c r="AL91" s="58"/>
      <c r="AM91" s="58">
        <f t="shared" si="67"/>
        <v>0</v>
      </c>
      <c r="AN91" s="58" t="e">
        <f t="shared" si="68"/>
        <v>#DIV/0!</v>
      </c>
    </row>
    <row r="92" spans="1:40" ht="15" customHeight="1" x14ac:dyDescent="0.25">
      <c r="A92" s="32"/>
      <c r="B92" s="32"/>
      <c r="C92" s="32"/>
      <c r="D92" s="32"/>
      <c r="E92" s="32"/>
      <c r="F92" s="32"/>
      <c r="G92" s="32" t="s">
        <v>97</v>
      </c>
      <c r="H92" s="32"/>
      <c r="I92" s="52">
        <v>1155.3699999999999</v>
      </c>
      <c r="J92" s="52">
        <v>349.92</v>
      </c>
      <c r="K92" s="52">
        <f>ROUND((I92-J92),5)</f>
        <v>805.45</v>
      </c>
      <c r="L92" s="53">
        <f>ROUND(IF(J92=0,IF(I92=0,0,1),I92/J92),5)</f>
        <v>3.3018100000000001</v>
      </c>
      <c r="M92" s="54">
        <v>1097.3399999999999</v>
      </c>
      <c r="N92" s="52">
        <v>999.96</v>
      </c>
      <c r="O92" s="52">
        <f>ROUND((M92-N92),5)</f>
        <v>97.38</v>
      </c>
      <c r="P92" s="53">
        <f>ROUND(IF(N92=0,IF(M92=0,0,1),M92/N92),5)</f>
        <v>1.09738</v>
      </c>
      <c r="Q92" s="54">
        <v>490</v>
      </c>
      <c r="R92" s="52">
        <v>0</v>
      </c>
      <c r="S92" s="52">
        <f>ROUND((Q92-R92),5)</f>
        <v>490</v>
      </c>
      <c r="T92" s="53">
        <f>ROUND(IF(R92=0,IF(Q92=0,0,1),Q92/R92),5)</f>
        <v>1</v>
      </c>
      <c r="U92" s="54">
        <v>863.24</v>
      </c>
      <c r="V92" s="52">
        <v>640</v>
      </c>
      <c r="W92" s="52">
        <f>ROUND((U92-V92),5)</f>
        <v>223.24</v>
      </c>
      <c r="X92" s="53">
        <f>ROUND(IF(V92=0,IF(U92=0,0,1),U92/V92),5)</f>
        <v>1.3488100000000001</v>
      </c>
      <c r="Y92" s="54">
        <v>0</v>
      </c>
      <c r="Z92" s="52"/>
      <c r="AA92" s="52"/>
      <c r="AB92" s="53"/>
      <c r="AC92" s="54">
        <v>0</v>
      </c>
      <c r="AD92" s="52"/>
      <c r="AE92" s="52"/>
      <c r="AF92" s="53"/>
      <c r="AG92" s="55">
        <f t="shared" si="82"/>
        <v>3605.95</v>
      </c>
      <c r="AH92" s="55">
        <f t="shared" si="82"/>
        <v>1989.88</v>
      </c>
      <c r="AI92" s="55">
        <f>ROUND((AG92-AH92),5)</f>
        <v>1616.07</v>
      </c>
      <c r="AJ92" s="56">
        <f>ROUND(IF(AH92=0,IF(AG92=0,0,1),AG92/AH92),5)</f>
        <v>1.8121400000000001</v>
      </c>
      <c r="AK92" s="57">
        <f t="shared" si="81"/>
        <v>600.99166666666667</v>
      </c>
      <c r="AL92" s="58"/>
      <c r="AM92" s="58">
        <f t="shared" si="67"/>
        <v>449.96000000000004</v>
      </c>
      <c r="AN92" s="58">
        <f t="shared" si="68"/>
        <v>640</v>
      </c>
    </row>
    <row r="93" spans="1:40" ht="15" customHeight="1" x14ac:dyDescent="0.25">
      <c r="A93" s="32"/>
      <c r="B93" s="32"/>
      <c r="C93" s="32"/>
      <c r="D93" s="32"/>
      <c r="E93" s="32"/>
      <c r="F93" s="32"/>
      <c r="G93" s="32" t="s">
        <v>98</v>
      </c>
      <c r="H93" s="32"/>
      <c r="I93" s="52">
        <v>720.53</v>
      </c>
      <c r="J93" s="52">
        <v>1500</v>
      </c>
      <c r="K93" s="52">
        <f>ROUND((I93-J93),5)</f>
        <v>-779.47</v>
      </c>
      <c r="L93" s="53">
        <f>ROUND(IF(J93=0,IF(I93=0,0,1),I93/J93),5)</f>
        <v>0.48035</v>
      </c>
      <c r="M93" s="54">
        <v>2075.92</v>
      </c>
      <c r="N93" s="52">
        <v>999.96</v>
      </c>
      <c r="O93" s="52">
        <f>ROUND((M93-N93),5)</f>
        <v>1075.96</v>
      </c>
      <c r="P93" s="53">
        <f>ROUND(IF(N93=0,IF(M93=0,0,1),M93/N93),5)</f>
        <v>2.0760000000000001</v>
      </c>
      <c r="Q93" s="54">
        <v>100</v>
      </c>
      <c r="R93" s="52">
        <v>0</v>
      </c>
      <c r="S93" s="52">
        <f>ROUND((Q93-R93),5)</f>
        <v>100</v>
      </c>
      <c r="T93" s="53">
        <f>ROUND(IF(R93=0,IF(Q93=0,0,1),Q93/R93),5)</f>
        <v>1</v>
      </c>
      <c r="U93" s="54">
        <v>0</v>
      </c>
      <c r="V93" s="52">
        <v>0</v>
      </c>
      <c r="W93" s="52">
        <f>ROUND((U93-V93),5)</f>
        <v>0</v>
      </c>
      <c r="X93" s="53">
        <f>ROUND(IF(V93=0,IF(U93=0,0,1),U93/V93),5)</f>
        <v>0</v>
      </c>
      <c r="Y93" s="54">
        <v>0</v>
      </c>
      <c r="Z93" s="52"/>
      <c r="AA93" s="52"/>
      <c r="AB93" s="53"/>
      <c r="AC93" s="54">
        <v>0</v>
      </c>
      <c r="AD93" s="52"/>
      <c r="AE93" s="52"/>
      <c r="AF93" s="53"/>
      <c r="AG93" s="55">
        <f t="shared" si="82"/>
        <v>2896.45</v>
      </c>
      <c r="AH93" s="55">
        <f t="shared" si="82"/>
        <v>2499.96</v>
      </c>
      <c r="AI93" s="55">
        <f>ROUND((AG93-AH93),5)</f>
        <v>396.49</v>
      </c>
      <c r="AJ93" s="56">
        <f>ROUND(IF(AH93=0,IF(AG93=0,0,1),AG93/AH93),5)</f>
        <v>1.1586000000000001</v>
      </c>
      <c r="AK93" s="57">
        <f t="shared" si="81"/>
        <v>482.74166666666662</v>
      </c>
      <c r="AL93" s="58"/>
      <c r="AM93" s="58">
        <f t="shared" si="67"/>
        <v>833.32</v>
      </c>
      <c r="AN93" s="58">
        <f t="shared" si="68"/>
        <v>0</v>
      </c>
    </row>
    <row r="94" spans="1:40" ht="15.75" customHeight="1" x14ac:dyDescent="0.25">
      <c r="A94" s="32"/>
      <c r="B94" s="32"/>
      <c r="C94" s="32"/>
      <c r="D94" s="32"/>
      <c r="E94" s="32"/>
      <c r="F94" s="32"/>
      <c r="G94" s="32" t="s">
        <v>181</v>
      </c>
      <c r="H94" s="32"/>
      <c r="I94" s="59">
        <v>0</v>
      </c>
      <c r="J94" s="59"/>
      <c r="K94" s="59"/>
      <c r="L94" s="60"/>
      <c r="M94" s="61">
        <v>0</v>
      </c>
      <c r="N94" s="59"/>
      <c r="O94" s="59"/>
      <c r="P94" s="60"/>
      <c r="Q94" s="61">
        <v>0</v>
      </c>
      <c r="R94" s="59"/>
      <c r="S94" s="59"/>
      <c r="T94" s="60"/>
      <c r="U94" s="61">
        <v>0</v>
      </c>
      <c r="V94" s="59"/>
      <c r="W94" s="59"/>
      <c r="X94" s="60"/>
      <c r="Y94" s="61">
        <v>0</v>
      </c>
      <c r="Z94" s="59"/>
      <c r="AA94" s="59"/>
      <c r="AB94" s="60"/>
      <c r="AC94" s="61">
        <v>250</v>
      </c>
      <c r="AD94" s="59"/>
      <c r="AE94" s="59"/>
      <c r="AF94" s="60"/>
      <c r="AG94" s="62">
        <f>ROUND(I94+M94+Q94+U94+Y94+AC94,5)</f>
        <v>250</v>
      </c>
      <c r="AH94" s="62"/>
      <c r="AI94" s="62"/>
      <c r="AJ94" s="63"/>
      <c r="AK94" s="57">
        <f t="shared" si="81"/>
        <v>41.666666666666664</v>
      </c>
      <c r="AL94" s="58"/>
      <c r="AM94" s="58" t="e">
        <f t="shared" si="67"/>
        <v>#DIV/0!</v>
      </c>
      <c r="AN94" s="58" t="e">
        <f t="shared" si="68"/>
        <v>#DIV/0!</v>
      </c>
    </row>
    <row r="95" spans="1:40" ht="15" customHeight="1" x14ac:dyDescent="0.25">
      <c r="A95" s="32"/>
      <c r="B95" s="32"/>
      <c r="C95" s="32"/>
      <c r="D95" s="32"/>
      <c r="E95" s="32"/>
      <c r="F95" s="32" t="s">
        <v>99</v>
      </c>
      <c r="G95" s="32"/>
      <c r="H95" s="32"/>
      <c r="I95" s="69">
        <f>ROUND(SUM(I88:I94),5)</f>
        <v>8815.64</v>
      </c>
      <c r="J95" s="69">
        <f>ROUND(SUM(J88:J94),5)</f>
        <v>8849.8799999999992</v>
      </c>
      <c r="K95" s="69">
        <f>ROUND((I95-J95),5)</f>
        <v>-34.24</v>
      </c>
      <c r="L95" s="70">
        <f>ROUND(IF(J95=0,IF(I95=0,0,1),I95/J95),5)</f>
        <v>0.99612999999999996</v>
      </c>
      <c r="M95" s="71">
        <f>ROUND(SUM(M88:M94),5)</f>
        <v>8596.7099999999991</v>
      </c>
      <c r="N95" s="69">
        <f>ROUND(SUM(N88:N94),5)</f>
        <v>8999.8799999999992</v>
      </c>
      <c r="O95" s="69">
        <f>ROUND((M95-N95),5)</f>
        <v>-403.17</v>
      </c>
      <c r="P95" s="70">
        <f>ROUND(IF(N95=0,IF(M95=0,0,1),M95/N95),5)</f>
        <v>0.95520000000000005</v>
      </c>
      <c r="Q95" s="71">
        <f>ROUND(SUM(Q88:Q94),5)</f>
        <v>5376.66</v>
      </c>
      <c r="R95" s="69">
        <f>ROUND(SUM(R88:R94),5)</f>
        <v>5000.04</v>
      </c>
      <c r="S95" s="69">
        <f>ROUND((Q95-R95),5)</f>
        <v>376.62</v>
      </c>
      <c r="T95" s="70">
        <f>ROUND(IF(R95=0,IF(Q95=0,0,1),Q95/R95),5)</f>
        <v>1.0753200000000001</v>
      </c>
      <c r="U95" s="71">
        <f>ROUND(SUM(U88:U94),5)</f>
        <v>863.24</v>
      </c>
      <c r="V95" s="69">
        <f>ROUND(SUM(V88:V94),5)</f>
        <v>640</v>
      </c>
      <c r="W95" s="69">
        <f>ROUND((U95-V95),5)</f>
        <v>223.24</v>
      </c>
      <c r="X95" s="70">
        <f>ROUND(IF(V95=0,IF(U95=0,0,1),U95/V95),5)</f>
        <v>1.3488100000000001</v>
      </c>
      <c r="Y95" s="71">
        <f>ROUND(SUM(Y88:Y94),5)</f>
        <v>2379</v>
      </c>
      <c r="Z95" s="69">
        <f>ROUND(SUM(Z88:Z94),5)</f>
        <v>5000</v>
      </c>
      <c r="AA95" s="69">
        <f>ROUND((Y95-Z95),5)</f>
        <v>-2621</v>
      </c>
      <c r="AB95" s="70">
        <f>ROUND(IF(Z95=0,IF(Y95=0,0,1),Y95/Z95),5)</f>
        <v>0.4758</v>
      </c>
      <c r="AC95" s="71">
        <f>ROUND(SUM(AC88:AC94),5)</f>
        <v>250</v>
      </c>
      <c r="AD95" s="69">
        <f>ROUND(SUM(AD88:AD94),5)</f>
        <v>0</v>
      </c>
      <c r="AE95" s="69">
        <f>ROUND((AC95-AD95),5)</f>
        <v>250</v>
      </c>
      <c r="AF95" s="70">
        <f>ROUND(IF(AD95=0,IF(AC95=0,0,1),AC95/AD95),5)</f>
        <v>1</v>
      </c>
      <c r="AG95" s="72">
        <f>ROUND(I95+M95+Q95+U95+Y95+AC95,5)</f>
        <v>26281.25</v>
      </c>
      <c r="AH95" s="72">
        <f>ROUND(J95+N95+R95+V95+Z95+AD95,5)</f>
        <v>28489.8</v>
      </c>
      <c r="AI95" s="72">
        <f>ROUND((AG95-AH95),5)</f>
        <v>-2208.5500000000002</v>
      </c>
      <c r="AJ95" s="73">
        <f>ROUND(IF(AH95=0,IF(AG95=0,0,1),AG95/AH95),5)</f>
        <v>0.92247999999999997</v>
      </c>
      <c r="AK95" s="57">
        <f t="shared" si="81"/>
        <v>4380.208333333333</v>
      </c>
      <c r="AL95" s="58"/>
      <c r="AM95" s="58">
        <f t="shared" si="67"/>
        <v>7616.5999999999995</v>
      </c>
      <c r="AN95" s="58">
        <f t="shared" si="68"/>
        <v>1880</v>
      </c>
    </row>
    <row r="96" spans="1:40" ht="15" customHeight="1" x14ac:dyDescent="0.25">
      <c r="A96" s="32"/>
      <c r="B96" s="32"/>
      <c r="C96" s="32"/>
      <c r="D96" s="32"/>
      <c r="E96" s="32"/>
      <c r="F96" s="32" t="s">
        <v>100</v>
      </c>
      <c r="G96" s="32"/>
      <c r="H96" s="32"/>
      <c r="I96" s="52"/>
      <c r="J96" s="52"/>
      <c r="K96" s="52"/>
      <c r="L96" s="53"/>
      <c r="M96" s="54"/>
      <c r="N96" s="52"/>
      <c r="O96" s="52"/>
      <c r="P96" s="53"/>
      <c r="Q96" s="54"/>
      <c r="R96" s="52"/>
      <c r="S96" s="52"/>
      <c r="T96" s="53"/>
      <c r="U96" s="54"/>
      <c r="V96" s="52"/>
      <c r="W96" s="52"/>
      <c r="X96" s="53"/>
      <c r="Y96" s="54"/>
      <c r="Z96" s="52"/>
      <c r="AA96" s="52"/>
      <c r="AB96" s="53"/>
      <c r="AC96" s="54"/>
      <c r="AD96" s="52"/>
      <c r="AE96" s="52"/>
      <c r="AF96" s="53"/>
      <c r="AG96" s="55"/>
      <c r="AH96" s="55"/>
      <c r="AI96" s="55"/>
      <c r="AJ96" s="56"/>
      <c r="AK96" s="57" t="e">
        <f t="shared" si="81"/>
        <v>#DIV/0!</v>
      </c>
      <c r="AL96" s="58"/>
      <c r="AM96" s="58" t="e">
        <f t="shared" si="67"/>
        <v>#DIV/0!</v>
      </c>
      <c r="AN96" s="58" t="e">
        <f t="shared" si="68"/>
        <v>#DIV/0!</v>
      </c>
    </row>
    <row r="97" spans="1:40" ht="15" customHeight="1" x14ac:dyDescent="0.25">
      <c r="A97" s="32"/>
      <c r="B97" s="32"/>
      <c r="C97" s="32"/>
      <c r="D97" s="32"/>
      <c r="E97" s="32"/>
      <c r="F97" s="32"/>
      <c r="G97" s="32" t="s">
        <v>101</v>
      </c>
      <c r="H97" s="32"/>
      <c r="I97" s="52">
        <v>0</v>
      </c>
      <c r="J97" s="52"/>
      <c r="K97" s="52"/>
      <c r="L97" s="53"/>
      <c r="M97" s="54">
        <v>0</v>
      </c>
      <c r="N97" s="52"/>
      <c r="O97" s="52"/>
      <c r="P97" s="53"/>
      <c r="Q97" s="54">
        <v>0</v>
      </c>
      <c r="R97" s="52"/>
      <c r="S97" s="52"/>
      <c r="T97" s="53"/>
      <c r="U97" s="54">
        <v>0</v>
      </c>
      <c r="V97" s="52"/>
      <c r="W97" s="52"/>
      <c r="X97" s="53"/>
      <c r="Y97" s="54">
        <v>160</v>
      </c>
      <c r="Z97" s="52">
        <v>0</v>
      </c>
      <c r="AA97" s="52">
        <f t="shared" ref="AA97:AA118" si="83">ROUND((Y97-Z97),5)</f>
        <v>160</v>
      </c>
      <c r="AB97" s="53">
        <f t="shared" ref="AB97:AB118" si="84">ROUND(IF(Z97=0,IF(Y97=0,0,1),Y97/Z97),5)</f>
        <v>1</v>
      </c>
      <c r="AC97" s="54">
        <v>0</v>
      </c>
      <c r="AD97" s="52">
        <v>2000.04</v>
      </c>
      <c r="AE97" s="52">
        <f t="shared" ref="AE97:AE118" si="85">ROUND((AC97-AD97),5)</f>
        <v>-2000.04</v>
      </c>
      <c r="AF97" s="53">
        <f t="shared" ref="AF97:AF118" si="86">ROUND(IF(AD97=0,IF(AC97=0,0,1),AC97/AD97),5)</f>
        <v>0</v>
      </c>
      <c r="AG97" s="55">
        <f t="shared" ref="AG97:AG118" si="87">ROUND(I97+M97+Q97+U97+Y97+AC97,5)</f>
        <v>160</v>
      </c>
      <c r="AH97" s="55">
        <f t="shared" ref="AH97:AH118" si="88">ROUND(J97+N97+R97+V97+Z97+AD97,5)</f>
        <v>2000.04</v>
      </c>
      <c r="AI97" s="55">
        <f t="shared" ref="AI97:AI118" si="89">ROUND((AG97-AH97),5)</f>
        <v>-1840.04</v>
      </c>
      <c r="AJ97" s="56">
        <f t="shared" ref="AJ97:AJ118" si="90">ROUND(IF(AH97=0,IF(AG97=0,0,1),AG97/AH97),5)</f>
        <v>0.08</v>
      </c>
      <c r="AK97" s="57">
        <f t="shared" si="81"/>
        <v>26.666666666666668</v>
      </c>
      <c r="AL97" s="58"/>
      <c r="AM97" s="58" t="e">
        <f t="shared" si="67"/>
        <v>#DIV/0!</v>
      </c>
      <c r="AN97" s="58">
        <f t="shared" si="68"/>
        <v>1000.02</v>
      </c>
    </row>
    <row r="98" spans="1:40" ht="15" customHeight="1" x14ac:dyDescent="0.25">
      <c r="A98" s="32"/>
      <c r="B98" s="32"/>
      <c r="C98" s="32"/>
      <c r="D98" s="32"/>
      <c r="E98" s="32"/>
      <c r="F98" s="32"/>
      <c r="G98" s="32" t="s">
        <v>102</v>
      </c>
      <c r="H98" s="32"/>
      <c r="I98" s="52">
        <v>0</v>
      </c>
      <c r="J98" s="52"/>
      <c r="K98" s="52"/>
      <c r="L98" s="53"/>
      <c r="M98" s="54">
        <v>0</v>
      </c>
      <c r="N98" s="52"/>
      <c r="O98" s="52"/>
      <c r="P98" s="53"/>
      <c r="Q98" s="54">
        <v>0</v>
      </c>
      <c r="R98" s="52"/>
      <c r="S98" s="52"/>
      <c r="T98" s="53"/>
      <c r="U98" s="54">
        <v>0</v>
      </c>
      <c r="V98" s="52">
        <v>675</v>
      </c>
      <c r="W98" s="52">
        <f t="shared" ref="W98:W118" si="91">ROUND((U98-V98),5)</f>
        <v>-675</v>
      </c>
      <c r="X98" s="53">
        <f t="shared" ref="X98:X118" si="92">ROUND(IF(V98=0,IF(U98=0,0,1),U98/V98),5)</f>
        <v>0</v>
      </c>
      <c r="Y98" s="54">
        <v>0</v>
      </c>
      <c r="Z98" s="52">
        <v>2000.04</v>
      </c>
      <c r="AA98" s="52">
        <f t="shared" si="83"/>
        <v>-2000.04</v>
      </c>
      <c r="AB98" s="53">
        <f t="shared" si="84"/>
        <v>0</v>
      </c>
      <c r="AC98" s="54">
        <v>0</v>
      </c>
      <c r="AD98" s="52">
        <v>0</v>
      </c>
      <c r="AE98" s="52">
        <f t="shared" si="85"/>
        <v>0</v>
      </c>
      <c r="AF98" s="53">
        <f t="shared" si="86"/>
        <v>0</v>
      </c>
      <c r="AG98" s="55">
        <f t="shared" si="87"/>
        <v>0</v>
      </c>
      <c r="AH98" s="55">
        <f t="shared" si="88"/>
        <v>2675.04</v>
      </c>
      <c r="AI98" s="55">
        <f t="shared" si="89"/>
        <v>-2675.04</v>
      </c>
      <c r="AJ98" s="56">
        <f t="shared" si="90"/>
        <v>0</v>
      </c>
      <c r="AK98" s="57">
        <f t="shared" si="81"/>
        <v>0</v>
      </c>
      <c r="AL98" s="58"/>
      <c r="AM98" s="58" t="e">
        <f t="shared" si="67"/>
        <v>#DIV/0!</v>
      </c>
      <c r="AN98" s="58">
        <f t="shared" si="68"/>
        <v>891.68</v>
      </c>
    </row>
    <row r="99" spans="1:40" ht="15" customHeight="1" x14ac:dyDescent="0.25">
      <c r="A99" s="32"/>
      <c r="B99" s="32"/>
      <c r="C99" s="32"/>
      <c r="D99" s="32"/>
      <c r="E99" s="32"/>
      <c r="F99" s="32"/>
      <c r="G99" s="32" t="s">
        <v>103</v>
      </c>
      <c r="H99" s="32"/>
      <c r="I99" s="52">
        <v>0</v>
      </c>
      <c r="J99" s="52"/>
      <c r="K99" s="52"/>
      <c r="L99" s="53"/>
      <c r="M99" s="54">
        <v>0</v>
      </c>
      <c r="N99" s="52"/>
      <c r="O99" s="52"/>
      <c r="P99" s="53"/>
      <c r="Q99" s="54">
        <v>0</v>
      </c>
      <c r="R99" s="52"/>
      <c r="S99" s="52"/>
      <c r="T99" s="53"/>
      <c r="U99" s="54">
        <v>193.35</v>
      </c>
      <c r="V99" s="52">
        <v>675</v>
      </c>
      <c r="W99" s="52">
        <f t="shared" si="91"/>
        <v>-481.65</v>
      </c>
      <c r="X99" s="53">
        <f t="shared" si="92"/>
        <v>0.28643999999999997</v>
      </c>
      <c r="Y99" s="54">
        <v>550.89</v>
      </c>
      <c r="Z99" s="52">
        <v>999.96</v>
      </c>
      <c r="AA99" s="52">
        <f t="shared" si="83"/>
        <v>-449.07</v>
      </c>
      <c r="AB99" s="53">
        <f t="shared" si="84"/>
        <v>0.55091000000000001</v>
      </c>
      <c r="AC99" s="54">
        <v>-193.35</v>
      </c>
      <c r="AD99" s="52">
        <v>500</v>
      </c>
      <c r="AE99" s="52">
        <f t="shared" si="85"/>
        <v>-693.35</v>
      </c>
      <c r="AF99" s="53">
        <f t="shared" si="86"/>
        <v>-0.38669999999999999</v>
      </c>
      <c r="AG99" s="55">
        <f t="shared" si="87"/>
        <v>550.89</v>
      </c>
      <c r="AH99" s="55">
        <f t="shared" si="88"/>
        <v>2174.96</v>
      </c>
      <c r="AI99" s="55">
        <f t="shared" si="89"/>
        <v>-1624.07</v>
      </c>
      <c r="AJ99" s="56">
        <f t="shared" si="90"/>
        <v>0.25329000000000002</v>
      </c>
      <c r="AK99" s="57">
        <f>AVERAGE(U99,Y99,AC99)</f>
        <v>183.63</v>
      </c>
      <c r="AL99" s="58"/>
      <c r="AM99" s="58" t="e">
        <f t="shared" si="67"/>
        <v>#DIV/0!</v>
      </c>
      <c r="AN99" s="58">
        <f t="shared" si="68"/>
        <v>724.98666666666668</v>
      </c>
    </row>
    <row r="100" spans="1:40" ht="15" customHeight="1" x14ac:dyDescent="0.25">
      <c r="A100" s="32"/>
      <c r="B100" s="32"/>
      <c r="C100" s="32"/>
      <c r="D100" s="32"/>
      <c r="E100" s="32"/>
      <c r="F100" s="32"/>
      <c r="G100" s="32" t="s">
        <v>105</v>
      </c>
      <c r="H100" s="32"/>
      <c r="I100" s="52">
        <v>2900</v>
      </c>
      <c r="J100" s="52">
        <v>0</v>
      </c>
      <c r="K100" s="52">
        <f>ROUND((I100-J100),5)</f>
        <v>2900</v>
      </c>
      <c r="L100" s="53">
        <f>ROUND(IF(J100=0,IF(I100=0,0,1),I100/J100),5)</f>
        <v>1</v>
      </c>
      <c r="M100" s="54">
        <v>2500</v>
      </c>
      <c r="N100" s="52">
        <v>3000</v>
      </c>
      <c r="O100" s="52">
        <f>ROUND((M100-N100),5)</f>
        <v>-500</v>
      </c>
      <c r="P100" s="53">
        <f>ROUND(IF(N100=0,IF(M100=0,0,1),M100/N100),5)</f>
        <v>0.83333000000000002</v>
      </c>
      <c r="Q100" s="54">
        <v>2750</v>
      </c>
      <c r="R100" s="52">
        <v>3000</v>
      </c>
      <c r="S100" s="52">
        <f t="shared" ref="S100:S113" si="93">ROUND((Q100-R100),5)</f>
        <v>-250</v>
      </c>
      <c r="T100" s="53">
        <f t="shared" ref="T100:T113" si="94">ROUND(IF(R100=0,IF(Q100=0,0,1),Q100/R100),5)</f>
        <v>0.91666999999999998</v>
      </c>
      <c r="U100" s="54">
        <v>3000</v>
      </c>
      <c r="V100" s="52">
        <v>3000</v>
      </c>
      <c r="W100" s="52">
        <f t="shared" si="91"/>
        <v>0</v>
      </c>
      <c r="X100" s="53">
        <f t="shared" si="92"/>
        <v>1</v>
      </c>
      <c r="Y100" s="54">
        <v>2900</v>
      </c>
      <c r="Z100" s="52">
        <v>3000</v>
      </c>
      <c r="AA100" s="52">
        <f t="shared" si="83"/>
        <v>-100</v>
      </c>
      <c r="AB100" s="53">
        <f t="shared" si="84"/>
        <v>0.96667000000000003</v>
      </c>
      <c r="AC100" s="54">
        <v>2550</v>
      </c>
      <c r="AD100" s="52">
        <v>3600</v>
      </c>
      <c r="AE100" s="52">
        <f t="shared" si="85"/>
        <v>-1050</v>
      </c>
      <c r="AF100" s="53">
        <f t="shared" si="86"/>
        <v>0.70833000000000002</v>
      </c>
      <c r="AG100" s="55">
        <f t="shared" si="87"/>
        <v>16600</v>
      </c>
      <c r="AH100" s="55">
        <f t="shared" si="88"/>
        <v>15600</v>
      </c>
      <c r="AI100" s="55">
        <f t="shared" si="89"/>
        <v>1000</v>
      </c>
      <c r="AJ100" s="56">
        <f t="shared" si="90"/>
        <v>1.0641</v>
      </c>
      <c r="AK100" s="57">
        <f t="shared" ref="AK100:AK114" si="95">AVERAGE(I100,M100,Q100,U100,Y100,AC100)</f>
        <v>2766.6666666666665</v>
      </c>
      <c r="AL100" s="58"/>
      <c r="AM100" s="58">
        <f t="shared" si="67"/>
        <v>2000</v>
      </c>
      <c r="AN100" s="58">
        <f t="shared" si="68"/>
        <v>3200</v>
      </c>
    </row>
    <row r="101" spans="1:40" ht="15" customHeight="1" x14ac:dyDescent="0.25">
      <c r="A101" s="32"/>
      <c r="B101" s="32"/>
      <c r="C101" s="32"/>
      <c r="D101" s="32"/>
      <c r="E101" s="32"/>
      <c r="F101" s="32"/>
      <c r="G101" s="32" t="s">
        <v>107</v>
      </c>
      <c r="H101" s="32"/>
      <c r="I101" s="52">
        <v>0</v>
      </c>
      <c r="J101" s="52"/>
      <c r="K101" s="52"/>
      <c r="L101" s="53"/>
      <c r="M101" s="54">
        <v>0</v>
      </c>
      <c r="N101" s="52"/>
      <c r="O101" s="52"/>
      <c r="P101" s="53"/>
      <c r="Q101" s="54">
        <v>0</v>
      </c>
      <c r="R101" s="52">
        <v>0</v>
      </c>
      <c r="S101" s="52">
        <f t="shared" si="93"/>
        <v>0</v>
      </c>
      <c r="T101" s="53">
        <f t="shared" si="94"/>
        <v>0</v>
      </c>
      <c r="U101" s="54">
        <v>600</v>
      </c>
      <c r="V101" s="52">
        <v>600</v>
      </c>
      <c r="W101" s="52">
        <f t="shared" si="91"/>
        <v>0</v>
      </c>
      <c r="X101" s="53">
        <f t="shared" si="92"/>
        <v>1</v>
      </c>
      <c r="Y101" s="54">
        <v>450</v>
      </c>
      <c r="Z101" s="52">
        <v>600</v>
      </c>
      <c r="AA101" s="52">
        <f t="shared" si="83"/>
        <v>-150</v>
      </c>
      <c r="AB101" s="53">
        <f t="shared" si="84"/>
        <v>0.75</v>
      </c>
      <c r="AC101" s="54">
        <v>450</v>
      </c>
      <c r="AD101" s="52">
        <v>750</v>
      </c>
      <c r="AE101" s="52">
        <f t="shared" si="85"/>
        <v>-300</v>
      </c>
      <c r="AF101" s="53">
        <f t="shared" si="86"/>
        <v>0.6</v>
      </c>
      <c r="AG101" s="55">
        <f t="shared" si="87"/>
        <v>1500</v>
      </c>
      <c r="AH101" s="55">
        <f t="shared" si="88"/>
        <v>1950</v>
      </c>
      <c r="AI101" s="55">
        <f t="shared" si="89"/>
        <v>-450</v>
      </c>
      <c r="AJ101" s="56">
        <f t="shared" si="90"/>
        <v>0.76922999999999997</v>
      </c>
      <c r="AK101" s="57">
        <f t="shared" si="95"/>
        <v>250</v>
      </c>
      <c r="AL101" s="58"/>
      <c r="AM101" s="58">
        <f t="shared" ref="AM101:AM134" si="96">AVERAGE(J101,N101,R101)</f>
        <v>0</v>
      </c>
      <c r="AN101" s="58">
        <f t="shared" ref="AN101:AN134" si="97">AVERAGE(V101,Z101,AD101)</f>
        <v>650</v>
      </c>
    </row>
    <row r="102" spans="1:40" ht="15" customHeight="1" x14ac:dyDescent="0.25">
      <c r="A102" s="32"/>
      <c r="B102" s="32"/>
      <c r="C102" s="32"/>
      <c r="D102" s="32"/>
      <c r="E102" s="32"/>
      <c r="F102" s="32"/>
      <c r="G102" s="32" t="s">
        <v>109</v>
      </c>
      <c r="H102" s="32"/>
      <c r="I102" s="52">
        <v>1055.42</v>
      </c>
      <c r="J102" s="52">
        <v>540</v>
      </c>
      <c r="K102" s="52">
        <f t="shared" ref="K102:K113" si="98">ROUND((I102-J102),5)</f>
        <v>515.41999999999996</v>
      </c>
      <c r="L102" s="53">
        <f t="shared" ref="L102:L113" si="99">ROUND(IF(J102=0,IF(I102=0,0,1),I102/J102),5)</f>
        <v>1.95448</v>
      </c>
      <c r="M102" s="54">
        <v>558.04999999999995</v>
      </c>
      <c r="N102" s="52">
        <v>540</v>
      </c>
      <c r="O102" s="52">
        <f t="shared" ref="O102:O113" si="100">ROUND((M102-N102),5)</f>
        <v>18.05</v>
      </c>
      <c r="P102" s="53">
        <f t="shared" ref="P102:P113" si="101">ROUND(IF(N102=0,IF(M102=0,0,1),M102/N102),5)</f>
        <v>1.0334300000000001</v>
      </c>
      <c r="Q102" s="54">
        <v>112.77</v>
      </c>
      <c r="R102" s="52">
        <v>540</v>
      </c>
      <c r="S102" s="52">
        <f t="shared" si="93"/>
        <v>-427.23</v>
      </c>
      <c r="T102" s="53">
        <f t="shared" si="94"/>
        <v>0.20882999999999999</v>
      </c>
      <c r="U102" s="54">
        <v>1002.68</v>
      </c>
      <c r="V102" s="52">
        <v>540</v>
      </c>
      <c r="W102" s="52">
        <f t="shared" si="91"/>
        <v>462.68</v>
      </c>
      <c r="X102" s="53">
        <f t="shared" si="92"/>
        <v>1.8568100000000001</v>
      </c>
      <c r="Y102" s="54">
        <v>737.47</v>
      </c>
      <c r="Z102" s="52">
        <v>500.04</v>
      </c>
      <c r="AA102" s="52">
        <f t="shared" si="83"/>
        <v>237.43</v>
      </c>
      <c r="AB102" s="53">
        <f t="shared" si="84"/>
        <v>1.47482</v>
      </c>
      <c r="AC102" s="54">
        <v>93.06</v>
      </c>
      <c r="AD102" s="52">
        <v>500.04</v>
      </c>
      <c r="AE102" s="52">
        <f t="shared" si="85"/>
        <v>-406.98</v>
      </c>
      <c r="AF102" s="53">
        <f t="shared" si="86"/>
        <v>0.18611</v>
      </c>
      <c r="AG102" s="55">
        <f t="shared" si="87"/>
        <v>3559.45</v>
      </c>
      <c r="AH102" s="55">
        <f t="shared" si="88"/>
        <v>3160.08</v>
      </c>
      <c r="AI102" s="55">
        <f t="shared" si="89"/>
        <v>399.37</v>
      </c>
      <c r="AJ102" s="56">
        <f t="shared" si="90"/>
        <v>1.1263799999999999</v>
      </c>
      <c r="AK102" s="57">
        <f t="shared" si="95"/>
        <v>593.24166666666667</v>
      </c>
      <c r="AL102" s="58"/>
      <c r="AM102" s="58">
        <f t="shared" si="96"/>
        <v>540</v>
      </c>
      <c r="AN102" s="58">
        <f t="shared" si="97"/>
        <v>513.36</v>
      </c>
    </row>
    <row r="103" spans="1:40" ht="15" customHeight="1" x14ac:dyDescent="0.25">
      <c r="A103" s="32"/>
      <c r="B103" s="32"/>
      <c r="C103" s="32"/>
      <c r="D103" s="32"/>
      <c r="E103" s="32"/>
      <c r="F103" s="32"/>
      <c r="G103" s="32" t="s">
        <v>111</v>
      </c>
      <c r="H103" s="32"/>
      <c r="I103" s="52">
        <v>3411.9</v>
      </c>
      <c r="J103" s="52">
        <v>4999.92</v>
      </c>
      <c r="K103" s="52">
        <f t="shared" si="98"/>
        <v>-1588.02</v>
      </c>
      <c r="L103" s="53">
        <f t="shared" si="99"/>
        <v>0.68239000000000005</v>
      </c>
      <c r="M103" s="54">
        <v>3201.34</v>
      </c>
      <c r="N103" s="52">
        <v>4500</v>
      </c>
      <c r="O103" s="52">
        <f t="shared" si="100"/>
        <v>-1298.6600000000001</v>
      </c>
      <c r="P103" s="53">
        <f t="shared" si="101"/>
        <v>0.71140999999999999</v>
      </c>
      <c r="Q103" s="54">
        <v>3061.33</v>
      </c>
      <c r="R103" s="52">
        <v>4500</v>
      </c>
      <c r="S103" s="52">
        <f t="shared" si="93"/>
        <v>-1438.67</v>
      </c>
      <c r="T103" s="53">
        <f t="shared" si="94"/>
        <v>0.68030000000000002</v>
      </c>
      <c r="U103" s="54">
        <v>3465.43</v>
      </c>
      <c r="V103" s="52">
        <v>6075</v>
      </c>
      <c r="W103" s="52">
        <f t="shared" si="91"/>
        <v>-2609.5700000000002</v>
      </c>
      <c r="X103" s="53">
        <f t="shared" si="92"/>
        <v>0.57043999999999995</v>
      </c>
      <c r="Y103" s="54">
        <v>0</v>
      </c>
      <c r="Z103" s="52">
        <v>2000.04</v>
      </c>
      <c r="AA103" s="52">
        <f t="shared" si="83"/>
        <v>-2000.04</v>
      </c>
      <c r="AB103" s="53">
        <f t="shared" si="84"/>
        <v>0</v>
      </c>
      <c r="AC103" s="54">
        <v>108</v>
      </c>
      <c r="AD103" s="52">
        <v>5000.04</v>
      </c>
      <c r="AE103" s="52">
        <f t="shared" si="85"/>
        <v>-4892.04</v>
      </c>
      <c r="AF103" s="53">
        <f t="shared" si="86"/>
        <v>2.1600000000000001E-2</v>
      </c>
      <c r="AG103" s="55">
        <f t="shared" si="87"/>
        <v>13248</v>
      </c>
      <c r="AH103" s="55">
        <f t="shared" si="88"/>
        <v>27075</v>
      </c>
      <c r="AI103" s="55">
        <f t="shared" si="89"/>
        <v>-13827</v>
      </c>
      <c r="AJ103" s="56">
        <f t="shared" si="90"/>
        <v>0.48931000000000002</v>
      </c>
      <c r="AK103" s="57">
        <f t="shared" si="95"/>
        <v>2208</v>
      </c>
      <c r="AL103" s="58"/>
      <c r="AM103" s="58">
        <f t="shared" si="96"/>
        <v>4666.6400000000003</v>
      </c>
      <c r="AN103" s="58">
        <f t="shared" si="97"/>
        <v>4358.3599999999997</v>
      </c>
    </row>
    <row r="104" spans="1:40" ht="15" customHeight="1" x14ac:dyDescent="0.25">
      <c r="A104" s="32"/>
      <c r="B104" s="32"/>
      <c r="C104" s="32"/>
      <c r="D104" s="32"/>
      <c r="E104" s="32"/>
      <c r="F104" s="32"/>
      <c r="G104" s="32" t="s">
        <v>113</v>
      </c>
      <c r="H104" s="32"/>
      <c r="I104" s="52">
        <v>3939.52</v>
      </c>
      <c r="J104" s="52">
        <v>3499.92</v>
      </c>
      <c r="K104" s="52">
        <f t="shared" si="98"/>
        <v>439.6</v>
      </c>
      <c r="L104" s="53">
        <f t="shared" si="99"/>
        <v>1.1255999999999999</v>
      </c>
      <c r="M104" s="54">
        <v>4113.7</v>
      </c>
      <c r="N104" s="52">
        <v>3500.04</v>
      </c>
      <c r="O104" s="52">
        <f t="shared" si="100"/>
        <v>613.66</v>
      </c>
      <c r="P104" s="53">
        <f t="shared" si="101"/>
        <v>1.17533</v>
      </c>
      <c r="Q104" s="54">
        <v>3461.62</v>
      </c>
      <c r="R104" s="52">
        <v>3500.04</v>
      </c>
      <c r="S104" s="52">
        <f t="shared" si="93"/>
        <v>-38.42</v>
      </c>
      <c r="T104" s="53">
        <f t="shared" si="94"/>
        <v>0.98902000000000001</v>
      </c>
      <c r="U104" s="54">
        <v>2626.19</v>
      </c>
      <c r="V104" s="52">
        <v>4725</v>
      </c>
      <c r="W104" s="52">
        <f t="shared" si="91"/>
        <v>-2098.81</v>
      </c>
      <c r="X104" s="53">
        <f t="shared" si="92"/>
        <v>0.55581000000000003</v>
      </c>
      <c r="Y104" s="54">
        <v>0</v>
      </c>
      <c r="Z104" s="52">
        <v>2000.04</v>
      </c>
      <c r="AA104" s="52">
        <f t="shared" si="83"/>
        <v>-2000.04</v>
      </c>
      <c r="AB104" s="53">
        <f t="shared" si="84"/>
        <v>0</v>
      </c>
      <c r="AC104" s="54">
        <v>0</v>
      </c>
      <c r="AD104" s="52">
        <v>3500.04</v>
      </c>
      <c r="AE104" s="52">
        <f t="shared" si="85"/>
        <v>-3500.04</v>
      </c>
      <c r="AF104" s="53">
        <f t="shared" si="86"/>
        <v>0</v>
      </c>
      <c r="AG104" s="55">
        <f t="shared" si="87"/>
        <v>14141.03</v>
      </c>
      <c r="AH104" s="55">
        <f t="shared" si="88"/>
        <v>20725.080000000002</v>
      </c>
      <c r="AI104" s="55">
        <f t="shared" si="89"/>
        <v>-6584.05</v>
      </c>
      <c r="AJ104" s="56">
        <f t="shared" si="90"/>
        <v>0.68230999999999997</v>
      </c>
      <c r="AK104" s="57">
        <f t="shared" si="95"/>
        <v>2356.8383333333336</v>
      </c>
      <c r="AL104" s="58"/>
      <c r="AM104" s="58">
        <f t="shared" si="96"/>
        <v>3500</v>
      </c>
      <c r="AN104" s="58">
        <f t="shared" si="97"/>
        <v>3408.36</v>
      </c>
    </row>
    <row r="105" spans="1:40" ht="15" customHeight="1" x14ac:dyDescent="0.25">
      <c r="A105" s="32"/>
      <c r="B105" s="32"/>
      <c r="C105" s="32"/>
      <c r="D105" s="32"/>
      <c r="E105" s="32"/>
      <c r="F105" s="32"/>
      <c r="G105" s="32" t="s">
        <v>115</v>
      </c>
      <c r="H105" s="32"/>
      <c r="I105" s="52">
        <v>984.89</v>
      </c>
      <c r="J105" s="52">
        <v>999.96</v>
      </c>
      <c r="K105" s="52">
        <f t="shared" si="98"/>
        <v>-15.07</v>
      </c>
      <c r="L105" s="53">
        <f t="shared" si="99"/>
        <v>0.98492999999999997</v>
      </c>
      <c r="M105" s="54">
        <v>917.58</v>
      </c>
      <c r="N105" s="52">
        <v>999.96</v>
      </c>
      <c r="O105" s="52">
        <f t="shared" si="100"/>
        <v>-82.38</v>
      </c>
      <c r="P105" s="53">
        <f t="shared" si="101"/>
        <v>0.91761999999999999</v>
      </c>
      <c r="Q105" s="54">
        <v>505.01</v>
      </c>
      <c r="R105" s="52">
        <v>500.04</v>
      </c>
      <c r="S105" s="52">
        <f t="shared" si="93"/>
        <v>4.97</v>
      </c>
      <c r="T105" s="53">
        <f t="shared" si="94"/>
        <v>1.0099400000000001</v>
      </c>
      <c r="U105" s="54">
        <v>509.7</v>
      </c>
      <c r="V105" s="52">
        <v>675</v>
      </c>
      <c r="W105" s="52">
        <f t="shared" si="91"/>
        <v>-165.3</v>
      </c>
      <c r="X105" s="53">
        <f t="shared" si="92"/>
        <v>0.75510999999999995</v>
      </c>
      <c r="Y105" s="54">
        <v>361.43</v>
      </c>
      <c r="Z105" s="52">
        <v>500.04</v>
      </c>
      <c r="AA105" s="52">
        <f t="shared" si="83"/>
        <v>-138.61000000000001</v>
      </c>
      <c r="AB105" s="53">
        <f t="shared" si="84"/>
        <v>0.7228</v>
      </c>
      <c r="AC105" s="54">
        <v>602.38</v>
      </c>
      <c r="AD105" s="52">
        <v>750</v>
      </c>
      <c r="AE105" s="52">
        <f t="shared" si="85"/>
        <v>-147.62</v>
      </c>
      <c r="AF105" s="53">
        <f t="shared" si="86"/>
        <v>0.80317000000000005</v>
      </c>
      <c r="AG105" s="55">
        <f t="shared" si="87"/>
        <v>3880.99</v>
      </c>
      <c r="AH105" s="55">
        <f t="shared" si="88"/>
        <v>4425</v>
      </c>
      <c r="AI105" s="55">
        <f t="shared" si="89"/>
        <v>-544.01</v>
      </c>
      <c r="AJ105" s="56">
        <f t="shared" si="90"/>
        <v>0.87705999999999995</v>
      </c>
      <c r="AK105" s="57">
        <f t="shared" si="95"/>
        <v>646.83166666666659</v>
      </c>
      <c r="AL105" s="58"/>
      <c r="AM105" s="58">
        <f t="shared" si="96"/>
        <v>833.32</v>
      </c>
      <c r="AN105" s="58">
        <f t="shared" si="97"/>
        <v>641.67999999999995</v>
      </c>
    </row>
    <row r="106" spans="1:40" ht="15" customHeight="1" x14ac:dyDescent="0.25">
      <c r="A106" s="32"/>
      <c r="B106" s="32"/>
      <c r="C106" s="32"/>
      <c r="D106" s="32"/>
      <c r="E106" s="32"/>
      <c r="F106" s="32"/>
      <c r="G106" s="32" t="s">
        <v>116</v>
      </c>
      <c r="H106" s="32"/>
      <c r="I106" s="52">
        <v>359.56</v>
      </c>
      <c r="J106" s="52">
        <v>1200</v>
      </c>
      <c r="K106" s="52">
        <f t="shared" si="98"/>
        <v>-840.44</v>
      </c>
      <c r="L106" s="53">
        <f t="shared" si="99"/>
        <v>0.29963000000000001</v>
      </c>
      <c r="M106" s="54">
        <v>254.3</v>
      </c>
      <c r="N106" s="52">
        <v>999.96</v>
      </c>
      <c r="O106" s="52">
        <f t="shared" si="100"/>
        <v>-745.66</v>
      </c>
      <c r="P106" s="53">
        <f t="shared" si="101"/>
        <v>0.25430999999999998</v>
      </c>
      <c r="Q106" s="54">
        <v>595.54</v>
      </c>
      <c r="R106" s="52">
        <v>999.96</v>
      </c>
      <c r="S106" s="52">
        <f t="shared" si="93"/>
        <v>-404.42</v>
      </c>
      <c r="T106" s="53">
        <f t="shared" si="94"/>
        <v>0.59555999999999998</v>
      </c>
      <c r="U106" s="54">
        <v>1288.68</v>
      </c>
      <c r="V106" s="52">
        <v>1350</v>
      </c>
      <c r="W106" s="52">
        <f t="shared" si="91"/>
        <v>-61.32</v>
      </c>
      <c r="X106" s="53">
        <f t="shared" si="92"/>
        <v>0.95457999999999998</v>
      </c>
      <c r="Y106" s="54">
        <v>300</v>
      </c>
      <c r="Z106" s="52">
        <v>1500</v>
      </c>
      <c r="AA106" s="52">
        <f t="shared" si="83"/>
        <v>-1200</v>
      </c>
      <c r="AB106" s="53">
        <f t="shared" si="84"/>
        <v>0.2</v>
      </c>
      <c r="AC106" s="54">
        <v>1460</v>
      </c>
      <c r="AD106" s="52">
        <v>1000</v>
      </c>
      <c r="AE106" s="52">
        <f t="shared" si="85"/>
        <v>460</v>
      </c>
      <c r="AF106" s="53">
        <f t="shared" si="86"/>
        <v>1.46</v>
      </c>
      <c r="AG106" s="55">
        <f t="shared" si="87"/>
        <v>4258.08</v>
      </c>
      <c r="AH106" s="55">
        <f t="shared" si="88"/>
        <v>7049.92</v>
      </c>
      <c r="AI106" s="55">
        <f t="shared" si="89"/>
        <v>-2791.84</v>
      </c>
      <c r="AJ106" s="56">
        <f t="shared" si="90"/>
        <v>0.60399000000000003</v>
      </c>
      <c r="AK106" s="57">
        <f t="shared" si="95"/>
        <v>709.68</v>
      </c>
      <c r="AL106" s="58"/>
      <c r="AM106" s="58">
        <f t="shared" si="96"/>
        <v>1066.6400000000001</v>
      </c>
      <c r="AN106" s="58">
        <f t="shared" si="97"/>
        <v>1283.3333333333333</v>
      </c>
    </row>
    <row r="107" spans="1:40" ht="15" customHeight="1" x14ac:dyDescent="0.25">
      <c r="A107" s="32"/>
      <c r="B107" s="32"/>
      <c r="C107" s="32"/>
      <c r="D107" s="32"/>
      <c r="E107" s="32"/>
      <c r="F107" s="32"/>
      <c r="G107" s="32" t="s">
        <v>117</v>
      </c>
      <c r="H107" s="32"/>
      <c r="I107" s="52">
        <v>734.91</v>
      </c>
      <c r="J107" s="52">
        <v>1500</v>
      </c>
      <c r="K107" s="52">
        <f t="shared" si="98"/>
        <v>-765.09</v>
      </c>
      <c r="L107" s="53">
        <f t="shared" si="99"/>
        <v>0.48993999999999999</v>
      </c>
      <c r="M107" s="54">
        <v>866.79</v>
      </c>
      <c r="N107" s="52">
        <v>1500</v>
      </c>
      <c r="O107" s="52">
        <f t="shared" si="100"/>
        <v>-633.21</v>
      </c>
      <c r="P107" s="53">
        <f t="shared" si="101"/>
        <v>0.57786000000000004</v>
      </c>
      <c r="Q107" s="54">
        <v>985.28</v>
      </c>
      <c r="R107" s="52">
        <v>1500</v>
      </c>
      <c r="S107" s="52">
        <f t="shared" si="93"/>
        <v>-514.72</v>
      </c>
      <c r="T107" s="53">
        <f t="shared" si="94"/>
        <v>0.65685000000000004</v>
      </c>
      <c r="U107" s="54">
        <v>497.18</v>
      </c>
      <c r="V107" s="52">
        <v>1500</v>
      </c>
      <c r="W107" s="52">
        <f t="shared" si="91"/>
        <v>-1002.82</v>
      </c>
      <c r="X107" s="53">
        <f t="shared" si="92"/>
        <v>0.33145000000000002</v>
      </c>
      <c r="Y107" s="54">
        <v>0</v>
      </c>
      <c r="Z107" s="52">
        <v>1000</v>
      </c>
      <c r="AA107" s="52">
        <f t="shared" si="83"/>
        <v>-1000</v>
      </c>
      <c r="AB107" s="53">
        <f t="shared" si="84"/>
        <v>0</v>
      </c>
      <c r="AC107" s="54">
        <v>0</v>
      </c>
      <c r="AD107" s="52">
        <v>1000</v>
      </c>
      <c r="AE107" s="52">
        <f t="shared" si="85"/>
        <v>-1000</v>
      </c>
      <c r="AF107" s="53">
        <f t="shared" si="86"/>
        <v>0</v>
      </c>
      <c r="AG107" s="55">
        <f t="shared" si="87"/>
        <v>3084.16</v>
      </c>
      <c r="AH107" s="55">
        <f t="shared" si="88"/>
        <v>8000</v>
      </c>
      <c r="AI107" s="55">
        <f t="shared" si="89"/>
        <v>-4915.84</v>
      </c>
      <c r="AJ107" s="56">
        <f t="shared" si="90"/>
        <v>0.38551999999999997</v>
      </c>
      <c r="AK107" s="57">
        <f t="shared" si="95"/>
        <v>514.02666666666653</v>
      </c>
      <c r="AL107" s="58"/>
      <c r="AM107" s="58">
        <f t="shared" si="96"/>
        <v>1500</v>
      </c>
      <c r="AN107" s="58">
        <f t="shared" si="97"/>
        <v>1166.6666666666667</v>
      </c>
    </row>
    <row r="108" spans="1:40" ht="15" customHeight="1" x14ac:dyDescent="0.25">
      <c r="A108" s="32"/>
      <c r="B108" s="32"/>
      <c r="C108" s="32"/>
      <c r="D108" s="32"/>
      <c r="E108" s="32"/>
      <c r="F108" s="32"/>
      <c r="G108" s="32" t="s">
        <v>118</v>
      </c>
      <c r="H108" s="32"/>
      <c r="I108" s="52">
        <v>2738.75</v>
      </c>
      <c r="J108" s="52">
        <v>2500</v>
      </c>
      <c r="K108" s="52">
        <f t="shared" si="98"/>
        <v>238.75</v>
      </c>
      <c r="L108" s="53">
        <f t="shared" si="99"/>
        <v>1.0954999999999999</v>
      </c>
      <c r="M108" s="54">
        <v>2062.91</v>
      </c>
      <c r="N108" s="52">
        <v>2499.96</v>
      </c>
      <c r="O108" s="52">
        <f t="shared" si="100"/>
        <v>-437.05</v>
      </c>
      <c r="P108" s="53">
        <f t="shared" si="101"/>
        <v>0.82518000000000002</v>
      </c>
      <c r="Q108" s="54">
        <v>1775</v>
      </c>
      <c r="R108" s="52">
        <v>2499.96</v>
      </c>
      <c r="S108" s="52">
        <f t="shared" si="93"/>
        <v>-724.96</v>
      </c>
      <c r="T108" s="53">
        <f t="shared" si="94"/>
        <v>0.71001000000000003</v>
      </c>
      <c r="U108" s="54">
        <v>1450</v>
      </c>
      <c r="V108" s="52">
        <v>2499.96</v>
      </c>
      <c r="W108" s="52">
        <f t="shared" si="91"/>
        <v>-1049.96</v>
      </c>
      <c r="X108" s="53">
        <f t="shared" si="92"/>
        <v>0.58001000000000003</v>
      </c>
      <c r="Y108" s="54">
        <v>0</v>
      </c>
      <c r="Z108" s="52">
        <v>2400</v>
      </c>
      <c r="AA108" s="52">
        <f t="shared" si="83"/>
        <v>-2400</v>
      </c>
      <c r="AB108" s="53">
        <f t="shared" si="84"/>
        <v>0</v>
      </c>
      <c r="AC108" s="54">
        <v>0</v>
      </c>
      <c r="AD108" s="52">
        <v>2000</v>
      </c>
      <c r="AE108" s="52">
        <f t="shared" si="85"/>
        <v>-2000</v>
      </c>
      <c r="AF108" s="53">
        <f t="shared" si="86"/>
        <v>0</v>
      </c>
      <c r="AG108" s="55">
        <f t="shared" si="87"/>
        <v>8026.66</v>
      </c>
      <c r="AH108" s="55">
        <f t="shared" si="88"/>
        <v>14399.88</v>
      </c>
      <c r="AI108" s="55">
        <f t="shared" si="89"/>
        <v>-6373.22</v>
      </c>
      <c r="AJ108" s="56">
        <f t="shared" si="90"/>
        <v>0.55740999999999996</v>
      </c>
      <c r="AK108" s="57">
        <f t="shared" si="95"/>
        <v>1337.7766666666666</v>
      </c>
      <c r="AL108" s="58"/>
      <c r="AM108" s="58">
        <f t="shared" si="96"/>
        <v>2499.9733333333334</v>
      </c>
      <c r="AN108" s="58">
        <f t="shared" si="97"/>
        <v>2299.9866666666667</v>
      </c>
    </row>
    <row r="109" spans="1:40" ht="15" customHeight="1" x14ac:dyDescent="0.25">
      <c r="A109" s="32"/>
      <c r="B109" s="32"/>
      <c r="C109" s="32"/>
      <c r="D109" s="32"/>
      <c r="E109" s="32"/>
      <c r="F109" s="32"/>
      <c r="G109" s="32" t="s">
        <v>119</v>
      </c>
      <c r="H109" s="32"/>
      <c r="I109" s="52">
        <v>239.88</v>
      </c>
      <c r="J109" s="52">
        <v>499.92</v>
      </c>
      <c r="K109" s="52">
        <f t="shared" si="98"/>
        <v>-260.04000000000002</v>
      </c>
      <c r="L109" s="53">
        <f t="shared" si="99"/>
        <v>0.47983999999999999</v>
      </c>
      <c r="M109" s="54">
        <v>25</v>
      </c>
      <c r="N109" s="52">
        <v>500.04</v>
      </c>
      <c r="O109" s="52">
        <f t="shared" si="100"/>
        <v>-475.04</v>
      </c>
      <c r="P109" s="53">
        <f t="shared" si="101"/>
        <v>0.05</v>
      </c>
      <c r="Q109" s="54">
        <v>491.7</v>
      </c>
      <c r="R109" s="52">
        <v>500.04</v>
      </c>
      <c r="S109" s="52">
        <f t="shared" si="93"/>
        <v>-8.34</v>
      </c>
      <c r="T109" s="53">
        <f t="shared" si="94"/>
        <v>0.98331999999999997</v>
      </c>
      <c r="U109" s="54">
        <v>80.97</v>
      </c>
      <c r="V109" s="52">
        <v>500.04</v>
      </c>
      <c r="W109" s="52">
        <f t="shared" si="91"/>
        <v>-419.07</v>
      </c>
      <c r="X109" s="53">
        <f t="shared" si="92"/>
        <v>0.16192999999999999</v>
      </c>
      <c r="Y109" s="54">
        <v>331.08</v>
      </c>
      <c r="Z109" s="52">
        <v>500.04</v>
      </c>
      <c r="AA109" s="52">
        <f t="shared" si="83"/>
        <v>-168.96</v>
      </c>
      <c r="AB109" s="53">
        <f t="shared" si="84"/>
        <v>0.66210999999999998</v>
      </c>
      <c r="AC109" s="54">
        <v>211.56</v>
      </c>
      <c r="AD109" s="52">
        <v>250</v>
      </c>
      <c r="AE109" s="52">
        <f t="shared" si="85"/>
        <v>-38.44</v>
      </c>
      <c r="AF109" s="53">
        <f t="shared" si="86"/>
        <v>0.84623999999999999</v>
      </c>
      <c r="AG109" s="55">
        <f t="shared" si="87"/>
        <v>1380.19</v>
      </c>
      <c r="AH109" s="55">
        <f t="shared" si="88"/>
        <v>2750.08</v>
      </c>
      <c r="AI109" s="55">
        <f t="shared" si="89"/>
        <v>-1369.89</v>
      </c>
      <c r="AJ109" s="56">
        <f t="shared" si="90"/>
        <v>0.50187000000000004</v>
      </c>
      <c r="AK109" s="57">
        <f t="shared" si="95"/>
        <v>230.03166666666664</v>
      </c>
      <c r="AL109" s="58"/>
      <c r="AM109" s="58">
        <f t="shared" si="96"/>
        <v>500</v>
      </c>
      <c r="AN109" s="58">
        <f t="shared" si="97"/>
        <v>416.69333333333333</v>
      </c>
    </row>
    <row r="110" spans="1:40" ht="15" customHeight="1" x14ac:dyDescent="0.25">
      <c r="A110" s="32"/>
      <c r="B110" s="32"/>
      <c r="C110" s="32"/>
      <c r="D110" s="32"/>
      <c r="E110" s="32"/>
      <c r="F110" s="32"/>
      <c r="G110" s="32" t="s">
        <v>121</v>
      </c>
      <c r="H110" s="32"/>
      <c r="I110" s="52">
        <v>450.3</v>
      </c>
      <c r="J110" s="52">
        <v>750</v>
      </c>
      <c r="K110" s="52">
        <f t="shared" si="98"/>
        <v>-299.7</v>
      </c>
      <c r="L110" s="53">
        <f t="shared" si="99"/>
        <v>0.60040000000000004</v>
      </c>
      <c r="M110" s="54">
        <v>1000</v>
      </c>
      <c r="N110" s="52">
        <v>750</v>
      </c>
      <c r="O110" s="52">
        <f t="shared" si="100"/>
        <v>250</v>
      </c>
      <c r="P110" s="53">
        <f t="shared" si="101"/>
        <v>1.3333299999999999</v>
      </c>
      <c r="Q110" s="54">
        <v>1107.78</v>
      </c>
      <c r="R110" s="52">
        <v>1500</v>
      </c>
      <c r="S110" s="52">
        <f t="shared" si="93"/>
        <v>-392.22</v>
      </c>
      <c r="T110" s="53">
        <f t="shared" si="94"/>
        <v>0.73851999999999995</v>
      </c>
      <c r="U110" s="54">
        <v>2029.24</v>
      </c>
      <c r="V110" s="52">
        <v>1968</v>
      </c>
      <c r="W110" s="52">
        <f t="shared" si="91"/>
        <v>61.24</v>
      </c>
      <c r="X110" s="53">
        <f t="shared" si="92"/>
        <v>1.03112</v>
      </c>
      <c r="Y110" s="54">
        <v>0</v>
      </c>
      <c r="Z110" s="52">
        <v>0</v>
      </c>
      <c r="AA110" s="52">
        <f t="shared" si="83"/>
        <v>0</v>
      </c>
      <c r="AB110" s="53">
        <f t="shared" si="84"/>
        <v>0</v>
      </c>
      <c r="AC110" s="54">
        <v>0</v>
      </c>
      <c r="AD110" s="52">
        <v>999.96</v>
      </c>
      <c r="AE110" s="52">
        <f t="shared" si="85"/>
        <v>-999.96</v>
      </c>
      <c r="AF110" s="53">
        <f t="shared" si="86"/>
        <v>0</v>
      </c>
      <c r="AG110" s="55">
        <f t="shared" si="87"/>
        <v>4587.32</v>
      </c>
      <c r="AH110" s="55">
        <f t="shared" si="88"/>
        <v>5967.96</v>
      </c>
      <c r="AI110" s="55">
        <f t="shared" si="89"/>
        <v>-1380.64</v>
      </c>
      <c r="AJ110" s="56">
        <f t="shared" si="90"/>
        <v>0.76866000000000001</v>
      </c>
      <c r="AK110" s="57">
        <f t="shared" si="95"/>
        <v>764.55333333333328</v>
      </c>
      <c r="AL110" s="58"/>
      <c r="AM110" s="58">
        <f t="shared" si="96"/>
        <v>1000</v>
      </c>
      <c r="AN110" s="58">
        <f t="shared" si="97"/>
        <v>989.32</v>
      </c>
    </row>
    <row r="111" spans="1:40" ht="15" customHeight="1" x14ac:dyDescent="0.25">
      <c r="A111" s="32"/>
      <c r="B111" s="32"/>
      <c r="C111" s="32"/>
      <c r="D111" s="32"/>
      <c r="E111" s="32"/>
      <c r="F111" s="32"/>
      <c r="G111" s="32" t="s">
        <v>123</v>
      </c>
      <c r="H111" s="32"/>
      <c r="I111" s="52">
        <v>2866.25</v>
      </c>
      <c r="J111" s="52">
        <v>9999.9599999999991</v>
      </c>
      <c r="K111" s="52">
        <f t="shared" si="98"/>
        <v>-7133.71</v>
      </c>
      <c r="L111" s="53">
        <f t="shared" si="99"/>
        <v>0.28663</v>
      </c>
      <c r="M111" s="54">
        <v>0</v>
      </c>
      <c r="N111" s="52">
        <v>9999.9599999999991</v>
      </c>
      <c r="O111" s="52">
        <f t="shared" si="100"/>
        <v>-9999.9599999999991</v>
      </c>
      <c r="P111" s="53">
        <f t="shared" si="101"/>
        <v>0</v>
      </c>
      <c r="Q111" s="54">
        <v>1372.5</v>
      </c>
      <c r="R111" s="52">
        <v>9999.9599999999991</v>
      </c>
      <c r="S111" s="52">
        <f t="shared" si="93"/>
        <v>-8627.4599999999991</v>
      </c>
      <c r="T111" s="53">
        <f t="shared" si="94"/>
        <v>0.13725000000000001</v>
      </c>
      <c r="U111" s="54">
        <v>5948.75</v>
      </c>
      <c r="V111" s="52">
        <v>13500</v>
      </c>
      <c r="W111" s="52">
        <f t="shared" si="91"/>
        <v>-7551.25</v>
      </c>
      <c r="X111" s="53">
        <f t="shared" si="92"/>
        <v>0.44064999999999999</v>
      </c>
      <c r="Y111" s="54">
        <v>292.5</v>
      </c>
      <c r="Z111" s="52">
        <v>10000</v>
      </c>
      <c r="AA111" s="52">
        <f t="shared" si="83"/>
        <v>-9707.5</v>
      </c>
      <c r="AB111" s="53">
        <f t="shared" si="84"/>
        <v>2.9250000000000002E-2</v>
      </c>
      <c r="AC111" s="54">
        <v>300</v>
      </c>
      <c r="AD111" s="52">
        <v>10000</v>
      </c>
      <c r="AE111" s="52">
        <f t="shared" si="85"/>
        <v>-9700</v>
      </c>
      <c r="AF111" s="53">
        <f t="shared" si="86"/>
        <v>0.03</v>
      </c>
      <c r="AG111" s="55">
        <f t="shared" si="87"/>
        <v>10780</v>
      </c>
      <c r="AH111" s="55">
        <f t="shared" si="88"/>
        <v>63499.88</v>
      </c>
      <c r="AI111" s="55">
        <f t="shared" si="89"/>
        <v>-52719.88</v>
      </c>
      <c r="AJ111" s="56">
        <f t="shared" si="90"/>
        <v>0.16975999999999999</v>
      </c>
      <c r="AK111" s="57">
        <f t="shared" si="95"/>
        <v>1796.6666666666667</v>
      </c>
      <c r="AL111" s="58"/>
      <c r="AM111" s="58">
        <f t="shared" si="96"/>
        <v>9999.9599999999991</v>
      </c>
      <c r="AN111" s="58">
        <f t="shared" si="97"/>
        <v>11166.666666666666</v>
      </c>
    </row>
    <row r="112" spans="1:40" ht="15" customHeight="1" x14ac:dyDescent="0.25">
      <c r="A112" s="32"/>
      <c r="B112" s="32"/>
      <c r="C112" s="32"/>
      <c r="D112" s="32"/>
      <c r="E112" s="32"/>
      <c r="F112" s="32"/>
      <c r="G112" s="32" t="s">
        <v>125</v>
      </c>
      <c r="H112" s="32"/>
      <c r="I112" s="52">
        <v>16322.25</v>
      </c>
      <c r="J112" s="52">
        <v>11499.96</v>
      </c>
      <c r="K112" s="52">
        <f t="shared" si="98"/>
        <v>4822.29</v>
      </c>
      <c r="L112" s="53">
        <f t="shared" si="99"/>
        <v>1.41933</v>
      </c>
      <c r="M112" s="54">
        <v>12960</v>
      </c>
      <c r="N112" s="52">
        <v>12999.96</v>
      </c>
      <c r="O112" s="52">
        <f t="shared" si="100"/>
        <v>-39.96</v>
      </c>
      <c r="P112" s="53">
        <f t="shared" si="101"/>
        <v>0.99692999999999998</v>
      </c>
      <c r="Q112" s="54">
        <v>12150</v>
      </c>
      <c r="R112" s="52">
        <v>13389.96</v>
      </c>
      <c r="S112" s="52">
        <f t="shared" si="93"/>
        <v>-1239.96</v>
      </c>
      <c r="T112" s="53">
        <f t="shared" si="94"/>
        <v>0.90739999999999998</v>
      </c>
      <c r="U112" s="54">
        <v>11778</v>
      </c>
      <c r="V112" s="52">
        <v>12999.96</v>
      </c>
      <c r="W112" s="52">
        <f t="shared" si="91"/>
        <v>-1221.96</v>
      </c>
      <c r="X112" s="53">
        <f t="shared" si="92"/>
        <v>0.90600000000000003</v>
      </c>
      <c r="Y112" s="54">
        <v>8650</v>
      </c>
      <c r="Z112" s="52">
        <v>12000</v>
      </c>
      <c r="AA112" s="52">
        <f t="shared" si="83"/>
        <v>-3350</v>
      </c>
      <c r="AB112" s="53">
        <f t="shared" si="84"/>
        <v>0.72082999999999997</v>
      </c>
      <c r="AC112" s="54">
        <v>0</v>
      </c>
      <c r="AD112" s="52">
        <v>15000</v>
      </c>
      <c r="AE112" s="52">
        <f t="shared" si="85"/>
        <v>-15000</v>
      </c>
      <c r="AF112" s="53">
        <f t="shared" si="86"/>
        <v>0</v>
      </c>
      <c r="AG112" s="55">
        <f t="shared" si="87"/>
        <v>61860.25</v>
      </c>
      <c r="AH112" s="55">
        <f t="shared" si="88"/>
        <v>77889.84</v>
      </c>
      <c r="AI112" s="55">
        <f t="shared" si="89"/>
        <v>-16029.59</v>
      </c>
      <c r="AJ112" s="56">
        <f t="shared" si="90"/>
        <v>0.79420000000000002</v>
      </c>
      <c r="AK112" s="57">
        <f t="shared" si="95"/>
        <v>10310.041666666666</v>
      </c>
      <c r="AL112" s="58"/>
      <c r="AM112" s="58">
        <f t="shared" si="96"/>
        <v>12629.96</v>
      </c>
      <c r="AN112" s="58">
        <f t="shared" si="97"/>
        <v>13333.32</v>
      </c>
    </row>
    <row r="113" spans="1:40" ht="15" customHeight="1" x14ac:dyDescent="0.25">
      <c r="A113" s="32"/>
      <c r="B113" s="32"/>
      <c r="C113" s="32"/>
      <c r="D113" s="32"/>
      <c r="E113" s="32"/>
      <c r="F113" s="32"/>
      <c r="G113" s="32" t="s">
        <v>127</v>
      </c>
      <c r="H113" s="32"/>
      <c r="I113" s="52">
        <v>1381.71</v>
      </c>
      <c r="J113" s="52">
        <v>1249.92</v>
      </c>
      <c r="K113" s="52">
        <f t="shared" si="98"/>
        <v>131.79</v>
      </c>
      <c r="L113" s="53">
        <f t="shared" si="99"/>
        <v>1.10544</v>
      </c>
      <c r="M113" s="54">
        <v>800.28</v>
      </c>
      <c r="N113" s="52">
        <v>1500</v>
      </c>
      <c r="O113" s="52">
        <f t="shared" si="100"/>
        <v>-699.72</v>
      </c>
      <c r="P113" s="53">
        <f t="shared" si="101"/>
        <v>0.53351999999999999</v>
      </c>
      <c r="Q113" s="54">
        <v>1272.6199999999999</v>
      </c>
      <c r="R113" s="52">
        <v>1500</v>
      </c>
      <c r="S113" s="52">
        <f t="shared" si="93"/>
        <v>-227.38</v>
      </c>
      <c r="T113" s="53">
        <f t="shared" si="94"/>
        <v>0.84841</v>
      </c>
      <c r="U113" s="54">
        <v>1248</v>
      </c>
      <c r="V113" s="52">
        <v>2025</v>
      </c>
      <c r="W113" s="52">
        <f t="shared" si="91"/>
        <v>-777</v>
      </c>
      <c r="X113" s="53">
        <f t="shared" si="92"/>
        <v>0.61629999999999996</v>
      </c>
      <c r="Y113" s="54">
        <v>123.38</v>
      </c>
      <c r="Z113" s="52">
        <v>3000</v>
      </c>
      <c r="AA113" s="52">
        <f t="shared" si="83"/>
        <v>-2876.62</v>
      </c>
      <c r="AB113" s="53">
        <f t="shared" si="84"/>
        <v>4.113E-2</v>
      </c>
      <c r="AC113" s="54">
        <v>246.53</v>
      </c>
      <c r="AD113" s="52">
        <v>2000.04</v>
      </c>
      <c r="AE113" s="52">
        <f t="shared" si="85"/>
        <v>-1753.51</v>
      </c>
      <c r="AF113" s="53">
        <f t="shared" si="86"/>
        <v>0.12325999999999999</v>
      </c>
      <c r="AG113" s="55">
        <f t="shared" si="87"/>
        <v>5072.5200000000004</v>
      </c>
      <c r="AH113" s="55">
        <f t="shared" si="88"/>
        <v>11274.96</v>
      </c>
      <c r="AI113" s="55">
        <f t="shared" si="89"/>
        <v>-6202.44</v>
      </c>
      <c r="AJ113" s="56">
        <f t="shared" si="90"/>
        <v>0.44989000000000001</v>
      </c>
      <c r="AK113" s="57">
        <f t="shared" si="95"/>
        <v>845.42</v>
      </c>
      <c r="AL113" s="58"/>
      <c r="AM113" s="58">
        <f t="shared" si="96"/>
        <v>1416.64</v>
      </c>
      <c r="AN113" s="58">
        <f t="shared" si="97"/>
        <v>2341.6799999999998</v>
      </c>
    </row>
    <row r="114" spans="1:40" ht="15" customHeight="1" x14ac:dyDescent="0.25">
      <c r="A114" s="32"/>
      <c r="B114" s="32"/>
      <c r="C114" s="32"/>
      <c r="D114" s="32"/>
      <c r="E114" s="32"/>
      <c r="F114" s="32"/>
      <c r="G114" s="32" t="s">
        <v>129</v>
      </c>
      <c r="H114" s="32"/>
      <c r="I114" s="52">
        <v>0</v>
      </c>
      <c r="J114" s="52"/>
      <c r="K114" s="52"/>
      <c r="L114" s="53"/>
      <c r="M114" s="54">
        <v>0</v>
      </c>
      <c r="N114" s="52"/>
      <c r="O114" s="52"/>
      <c r="P114" s="53"/>
      <c r="Q114" s="54">
        <v>0</v>
      </c>
      <c r="R114" s="52"/>
      <c r="S114" s="52"/>
      <c r="T114" s="53"/>
      <c r="U114" s="54">
        <v>0</v>
      </c>
      <c r="V114" s="52">
        <v>0</v>
      </c>
      <c r="W114" s="52">
        <f t="shared" si="91"/>
        <v>0</v>
      </c>
      <c r="X114" s="53">
        <f t="shared" si="92"/>
        <v>0</v>
      </c>
      <c r="Y114" s="54">
        <v>30302.23</v>
      </c>
      <c r="Z114" s="52">
        <v>30000</v>
      </c>
      <c r="AA114" s="52">
        <f t="shared" si="83"/>
        <v>302.23</v>
      </c>
      <c r="AB114" s="53">
        <f t="shared" si="84"/>
        <v>1.01007</v>
      </c>
      <c r="AC114" s="54">
        <v>39999.99</v>
      </c>
      <c r="AD114" s="52">
        <v>40000</v>
      </c>
      <c r="AE114" s="52">
        <f t="shared" si="85"/>
        <v>-0.01</v>
      </c>
      <c r="AF114" s="53">
        <f t="shared" si="86"/>
        <v>1</v>
      </c>
      <c r="AG114" s="55">
        <f t="shared" si="87"/>
        <v>70302.22</v>
      </c>
      <c r="AH114" s="55">
        <f t="shared" si="88"/>
        <v>70000</v>
      </c>
      <c r="AI114" s="55">
        <f t="shared" si="89"/>
        <v>302.22000000000003</v>
      </c>
      <c r="AJ114" s="56">
        <f t="shared" si="90"/>
        <v>1.0043200000000001</v>
      </c>
      <c r="AK114" s="57">
        <f t="shared" si="95"/>
        <v>11717.036666666667</v>
      </c>
      <c r="AL114" s="58"/>
      <c r="AM114" s="58" t="e">
        <f t="shared" si="96"/>
        <v>#DIV/0!</v>
      </c>
      <c r="AN114" s="58">
        <f t="shared" si="97"/>
        <v>23333.333333333332</v>
      </c>
    </row>
    <row r="115" spans="1:40" ht="15" customHeight="1" x14ac:dyDescent="0.25">
      <c r="A115" s="32"/>
      <c r="B115" s="32"/>
      <c r="C115" s="32"/>
      <c r="D115" s="32"/>
      <c r="E115" s="32"/>
      <c r="F115" s="32"/>
      <c r="G115" s="32" t="s">
        <v>131</v>
      </c>
      <c r="H115" s="32"/>
      <c r="I115" s="52">
        <v>5797.93</v>
      </c>
      <c r="J115" s="52">
        <v>6000</v>
      </c>
      <c r="K115" s="52">
        <f>ROUND((I115-J115),5)</f>
        <v>-202.07</v>
      </c>
      <c r="L115" s="53">
        <f>ROUND(IF(J115=0,IF(I115=0,0,1),I115/J115),5)</f>
        <v>0.96631999999999996</v>
      </c>
      <c r="M115" s="54">
        <v>5105.2299999999996</v>
      </c>
      <c r="N115" s="52">
        <v>6000</v>
      </c>
      <c r="O115" s="52">
        <f>ROUND((M115-N115),5)</f>
        <v>-894.77</v>
      </c>
      <c r="P115" s="53">
        <f>ROUND(IF(N115=0,IF(M115=0,0,1),M115/N115),5)</f>
        <v>0.85087000000000002</v>
      </c>
      <c r="Q115" s="54">
        <v>6996.92</v>
      </c>
      <c r="R115" s="52">
        <v>6999.96</v>
      </c>
      <c r="S115" s="52">
        <f>ROUND((Q115-R115),5)</f>
        <v>-3.04</v>
      </c>
      <c r="T115" s="53">
        <f>ROUND(IF(R115=0,IF(Q115=0,0,1),Q115/R115),5)</f>
        <v>0.99956999999999996</v>
      </c>
      <c r="U115" s="54">
        <v>7216.96</v>
      </c>
      <c r="V115" s="52">
        <v>8100</v>
      </c>
      <c r="W115" s="52">
        <f t="shared" si="91"/>
        <v>-883.04</v>
      </c>
      <c r="X115" s="53">
        <f t="shared" si="92"/>
        <v>0.89097999999999999</v>
      </c>
      <c r="Y115" s="54">
        <v>471.25</v>
      </c>
      <c r="Z115" s="52">
        <v>3000</v>
      </c>
      <c r="AA115" s="52">
        <f t="shared" si="83"/>
        <v>-2528.75</v>
      </c>
      <c r="AB115" s="53">
        <f t="shared" si="84"/>
        <v>0.15708</v>
      </c>
      <c r="AC115" s="54">
        <v>4215</v>
      </c>
      <c r="AD115" s="52">
        <v>6000</v>
      </c>
      <c r="AE115" s="52">
        <f t="shared" si="85"/>
        <v>-1785</v>
      </c>
      <c r="AF115" s="53">
        <f t="shared" si="86"/>
        <v>0.70250000000000001</v>
      </c>
      <c r="AG115" s="55">
        <f t="shared" si="87"/>
        <v>29803.29</v>
      </c>
      <c r="AH115" s="55">
        <f t="shared" si="88"/>
        <v>36099.96</v>
      </c>
      <c r="AI115" s="55">
        <f t="shared" si="89"/>
        <v>-6296.67</v>
      </c>
      <c r="AJ115" s="56">
        <f t="shared" si="90"/>
        <v>0.82557999999999998</v>
      </c>
      <c r="AK115" s="57">
        <f>AVERAGE(I115,M115,Q115,U115,AC115)</f>
        <v>5866.4080000000004</v>
      </c>
      <c r="AL115" s="58"/>
      <c r="AM115" s="58">
        <f t="shared" si="96"/>
        <v>6333.32</v>
      </c>
      <c r="AN115" s="58">
        <f t="shared" si="97"/>
        <v>5700</v>
      </c>
    </row>
    <row r="116" spans="1:40" ht="15.75" customHeight="1" x14ac:dyDescent="0.25">
      <c r="A116" s="32"/>
      <c r="B116" s="32"/>
      <c r="C116" s="32"/>
      <c r="D116" s="32"/>
      <c r="E116" s="32"/>
      <c r="F116" s="32"/>
      <c r="G116" s="32" t="s">
        <v>133</v>
      </c>
      <c r="H116" s="32"/>
      <c r="I116" s="59">
        <v>3752.12</v>
      </c>
      <c r="J116" s="59">
        <v>3249.96</v>
      </c>
      <c r="K116" s="59">
        <f>ROUND((I116-J116),5)</f>
        <v>502.16</v>
      </c>
      <c r="L116" s="60">
        <f>ROUND(IF(J116=0,IF(I116=0,0,1),I116/J116),5)</f>
        <v>1.1545099999999999</v>
      </c>
      <c r="M116" s="61">
        <v>2972.77</v>
      </c>
      <c r="N116" s="59">
        <v>3249.96</v>
      </c>
      <c r="O116" s="59">
        <f>ROUND((M116-N116),5)</f>
        <v>-277.19</v>
      </c>
      <c r="P116" s="60">
        <f>ROUND(IF(N116=0,IF(M116=0,0,1),M116/N116),5)</f>
        <v>0.91471000000000002</v>
      </c>
      <c r="Q116" s="61">
        <v>2179.73</v>
      </c>
      <c r="R116" s="59">
        <v>3000</v>
      </c>
      <c r="S116" s="59">
        <f>ROUND((Q116-R116),5)</f>
        <v>-820.27</v>
      </c>
      <c r="T116" s="60">
        <f>ROUND(IF(R116=0,IF(Q116=0,0,1),Q116/R116),5)</f>
        <v>0.72658</v>
      </c>
      <c r="U116" s="61">
        <v>1237.69</v>
      </c>
      <c r="V116" s="59">
        <v>4387.92</v>
      </c>
      <c r="W116" s="59">
        <f t="shared" si="91"/>
        <v>-3150.23</v>
      </c>
      <c r="X116" s="60">
        <f t="shared" si="92"/>
        <v>0.28206999999999999</v>
      </c>
      <c r="Y116" s="61">
        <v>216.15</v>
      </c>
      <c r="Z116" s="59">
        <v>1500</v>
      </c>
      <c r="AA116" s="59">
        <f t="shared" si="83"/>
        <v>-1283.8499999999999</v>
      </c>
      <c r="AB116" s="60">
        <f t="shared" si="84"/>
        <v>0.14410000000000001</v>
      </c>
      <c r="AC116" s="61">
        <v>950.14</v>
      </c>
      <c r="AD116" s="59">
        <v>3000</v>
      </c>
      <c r="AE116" s="59">
        <f t="shared" si="85"/>
        <v>-2049.86</v>
      </c>
      <c r="AF116" s="60">
        <f t="shared" si="86"/>
        <v>0.31670999999999999</v>
      </c>
      <c r="AG116" s="62">
        <f t="shared" si="87"/>
        <v>11308.6</v>
      </c>
      <c r="AH116" s="62">
        <f t="shared" si="88"/>
        <v>18387.84</v>
      </c>
      <c r="AI116" s="62">
        <f t="shared" si="89"/>
        <v>-7079.24</v>
      </c>
      <c r="AJ116" s="63">
        <f t="shared" si="90"/>
        <v>0.61499999999999999</v>
      </c>
      <c r="AK116" s="57">
        <f t="shared" ref="AK116:AK134" si="102">AVERAGE(I116,M116,Q116,U116,Y116,AC116)</f>
        <v>1884.7666666666664</v>
      </c>
      <c r="AL116" s="58"/>
      <c r="AM116" s="58">
        <f t="shared" si="96"/>
        <v>3166.64</v>
      </c>
      <c r="AN116" s="58">
        <f t="shared" si="97"/>
        <v>2962.64</v>
      </c>
    </row>
    <row r="117" spans="1:40" ht="15.75" customHeight="1" x14ac:dyDescent="0.25">
      <c r="A117" s="32"/>
      <c r="B117" s="32"/>
      <c r="C117" s="32"/>
      <c r="D117" s="32"/>
      <c r="E117" s="32"/>
      <c r="F117" s="32" t="s">
        <v>134</v>
      </c>
      <c r="G117" s="32"/>
      <c r="H117" s="32"/>
      <c r="I117" s="64">
        <f>ROUND(SUM(I96:I116),5)</f>
        <v>46935.39</v>
      </c>
      <c r="J117" s="64">
        <f>ROUND(SUM(J96:J116),5)</f>
        <v>48489.52</v>
      </c>
      <c r="K117" s="64">
        <f>ROUND((I117-J117),5)</f>
        <v>-1554.13</v>
      </c>
      <c r="L117" s="65">
        <f>ROUND(IF(J117=0,IF(I117=0,0,1),I117/J117),5)</f>
        <v>0.96794999999999998</v>
      </c>
      <c r="M117" s="66">
        <f>ROUND(SUM(M96:M116),5)</f>
        <v>37337.949999999997</v>
      </c>
      <c r="N117" s="64">
        <f>ROUND(SUM(N96:N116),5)</f>
        <v>52539.839999999997</v>
      </c>
      <c r="O117" s="64">
        <f>ROUND((M117-N117),5)</f>
        <v>-15201.89</v>
      </c>
      <c r="P117" s="65">
        <f>ROUND(IF(N117=0,IF(M117=0,0,1),M117/N117),5)</f>
        <v>0.71065999999999996</v>
      </c>
      <c r="Q117" s="66">
        <f>ROUND(SUM(Q96:Q116),5)</f>
        <v>38817.800000000003</v>
      </c>
      <c r="R117" s="64">
        <f>ROUND(SUM(R96:R116),5)</f>
        <v>53929.919999999998</v>
      </c>
      <c r="S117" s="64">
        <f>ROUND((Q117-R117),5)</f>
        <v>-15112.12</v>
      </c>
      <c r="T117" s="65">
        <f>ROUND(IF(R117=0,IF(Q117=0,0,1),Q117/R117),5)</f>
        <v>0.71977999999999998</v>
      </c>
      <c r="U117" s="66">
        <f>ROUND(SUM(U96:U116),5)</f>
        <v>44172.82</v>
      </c>
      <c r="V117" s="64">
        <f>ROUND(SUM(V96:V116),5)</f>
        <v>65795.88</v>
      </c>
      <c r="W117" s="64">
        <f t="shared" si="91"/>
        <v>-21623.06</v>
      </c>
      <c r="X117" s="65">
        <f t="shared" si="92"/>
        <v>0.67135999999999996</v>
      </c>
      <c r="Y117" s="66">
        <f>ROUND(SUM(Y96:Y116),5)</f>
        <v>45846.38</v>
      </c>
      <c r="Z117" s="64">
        <f>ROUND(SUM(Z96:Z116),5)</f>
        <v>76500.2</v>
      </c>
      <c r="AA117" s="64">
        <f t="shared" si="83"/>
        <v>-30653.82</v>
      </c>
      <c r="AB117" s="65">
        <f t="shared" si="84"/>
        <v>0.59930000000000005</v>
      </c>
      <c r="AC117" s="66">
        <f>ROUND(SUM(AC96:AC116),5)</f>
        <v>50993.31</v>
      </c>
      <c r="AD117" s="64">
        <f>ROUND(SUM(AD96:AD116),5)</f>
        <v>97850.16</v>
      </c>
      <c r="AE117" s="64">
        <f t="shared" si="85"/>
        <v>-46856.85</v>
      </c>
      <c r="AF117" s="65">
        <f t="shared" si="86"/>
        <v>0.52114000000000005</v>
      </c>
      <c r="AG117" s="67">
        <f t="shared" si="87"/>
        <v>264103.65000000002</v>
      </c>
      <c r="AH117" s="67">
        <f t="shared" si="88"/>
        <v>395105.52</v>
      </c>
      <c r="AI117" s="67">
        <f t="shared" si="89"/>
        <v>-131001.87</v>
      </c>
      <c r="AJ117" s="68">
        <f t="shared" si="90"/>
        <v>0.66844000000000003</v>
      </c>
      <c r="AK117" s="57">
        <f t="shared" si="102"/>
        <v>44017.275000000001</v>
      </c>
      <c r="AL117" s="58"/>
      <c r="AM117" s="58">
        <f t="shared" si="96"/>
        <v>51653.093333333323</v>
      </c>
      <c r="AN117" s="58">
        <f t="shared" si="97"/>
        <v>80048.746666666673</v>
      </c>
    </row>
    <row r="118" spans="1:40" ht="15" customHeight="1" x14ac:dyDescent="0.25">
      <c r="A118" s="32"/>
      <c r="B118" s="32"/>
      <c r="C118" s="32"/>
      <c r="D118" s="32"/>
      <c r="E118" s="32" t="s">
        <v>135</v>
      </c>
      <c r="F118" s="32"/>
      <c r="G118" s="32"/>
      <c r="H118" s="32"/>
      <c r="I118" s="69">
        <f>ROUND(I87+I95+I117,5)</f>
        <v>55751.03</v>
      </c>
      <c r="J118" s="69">
        <f>ROUND(J87+J95+J117,5)</f>
        <v>57339.4</v>
      </c>
      <c r="K118" s="69">
        <f>ROUND((I118-J118),5)</f>
        <v>-1588.37</v>
      </c>
      <c r="L118" s="70">
        <f>ROUND(IF(J118=0,IF(I118=0,0,1),I118/J118),5)</f>
        <v>0.97230000000000005</v>
      </c>
      <c r="M118" s="71">
        <f>ROUND(M87+M95+M117,5)</f>
        <v>45934.66</v>
      </c>
      <c r="N118" s="69">
        <f>ROUND(N87+N95+N117,5)</f>
        <v>61539.72</v>
      </c>
      <c r="O118" s="69">
        <f>ROUND((M118-N118),5)</f>
        <v>-15605.06</v>
      </c>
      <c r="P118" s="70">
        <f>ROUND(IF(N118=0,IF(M118=0,0,1),M118/N118),5)</f>
        <v>0.74641999999999997</v>
      </c>
      <c r="Q118" s="71">
        <f>ROUND(Q87+Q95+Q117,5)</f>
        <v>44194.46</v>
      </c>
      <c r="R118" s="69">
        <f>ROUND(R87+R95+R117,5)</f>
        <v>58929.96</v>
      </c>
      <c r="S118" s="69">
        <f>ROUND((Q118-R118),5)</f>
        <v>-14735.5</v>
      </c>
      <c r="T118" s="70">
        <f>ROUND(IF(R118=0,IF(Q118=0,0,1),Q118/R118),5)</f>
        <v>0.74995000000000001</v>
      </c>
      <c r="U118" s="71">
        <f>ROUND(U87+U95+U117,5)</f>
        <v>45036.06</v>
      </c>
      <c r="V118" s="69">
        <f>ROUND(V87+V95+V117,5)</f>
        <v>66435.88</v>
      </c>
      <c r="W118" s="69">
        <f t="shared" si="91"/>
        <v>-21399.82</v>
      </c>
      <c r="X118" s="70">
        <f t="shared" si="92"/>
        <v>0.67788999999999999</v>
      </c>
      <c r="Y118" s="71">
        <f>ROUND(Y87+Y95+Y117,5)</f>
        <v>48225.38</v>
      </c>
      <c r="Z118" s="69">
        <f>ROUND(Z87+Z95+Z117,5)</f>
        <v>81500.2</v>
      </c>
      <c r="AA118" s="69">
        <f t="shared" si="83"/>
        <v>-33274.82</v>
      </c>
      <c r="AB118" s="70">
        <f t="shared" si="84"/>
        <v>0.59172000000000002</v>
      </c>
      <c r="AC118" s="71">
        <f>ROUND(AC87+AC95+AC117,5)</f>
        <v>51243.31</v>
      </c>
      <c r="AD118" s="69">
        <f>ROUND(AD87+AD95+AD117,5)</f>
        <v>97850.16</v>
      </c>
      <c r="AE118" s="69">
        <f t="shared" si="85"/>
        <v>-46606.85</v>
      </c>
      <c r="AF118" s="70">
        <f t="shared" si="86"/>
        <v>0.52368999999999999</v>
      </c>
      <c r="AG118" s="72">
        <f t="shared" si="87"/>
        <v>290384.90000000002</v>
      </c>
      <c r="AH118" s="72">
        <f t="shared" si="88"/>
        <v>423595.32</v>
      </c>
      <c r="AI118" s="72">
        <f t="shared" si="89"/>
        <v>-133210.42000000001</v>
      </c>
      <c r="AJ118" s="73">
        <f t="shared" si="90"/>
        <v>0.68552000000000002</v>
      </c>
      <c r="AK118" s="57">
        <f t="shared" si="102"/>
        <v>48397.483333333337</v>
      </c>
      <c r="AL118" s="58"/>
      <c r="AM118" s="58">
        <f t="shared" si="96"/>
        <v>59269.693333333329</v>
      </c>
      <c r="AN118" s="58">
        <f t="shared" si="97"/>
        <v>81928.746666666673</v>
      </c>
    </row>
    <row r="119" spans="1:40" ht="15" customHeight="1" x14ac:dyDescent="0.25">
      <c r="A119" s="32"/>
      <c r="B119" s="32"/>
      <c r="C119" s="32"/>
      <c r="D119" s="32"/>
      <c r="E119" s="32" t="s">
        <v>136</v>
      </c>
      <c r="F119" s="32"/>
      <c r="G119" s="32"/>
      <c r="H119" s="32"/>
      <c r="I119" s="52"/>
      <c r="J119" s="52"/>
      <c r="K119" s="52"/>
      <c r="L119" s="53"/>
      <c r="M119" s="54"/>
      <c r="N119" s="52"/>
      <c r="O119" s="52"/>
      <c r="P119" s="53"/>
      <c r="Q119" s="54"/>
      <c r="R119" s="52"/>
      <c r="S119" s="52"/>
      <c r="T119" s="53"/>
      <c r="U119" s="54"/>
      <c r="V119" s="52"/>
      <c r="W119" s="52"/>
      <c r="X119" s="53"/>
      <c r="Y119" s="54"/>
      <c r="Z119" s="52"/>
      <c r="AA119" s="52"/>
      <c r="AB119" s="53"/>
      <c r="AC119" s="54"/>
      <c r="AD119" s="52"/>
      <c r="AE119" s="52"/>
      <c r="AF119" s="53"/>
      <c r="AG119" s="55"/>
      <c r="AH119" s="55"/>
      <c r="AI119" s="55"/>
      <c r="AJ119" s="56"/>
      <c r="AK119" s="57" t="e">
        <f t="shared" si="102"/>
        <v>#DIV/0!</v>
      </c>
      <c r="AL119" s="58"/>
      <c r="AM119" s="58" t="e">
        <f t="shared" si="96"/>
        <v>#DIV/0!</v>
      </c>
      <c r="AN119" s="58" t="e">
        <f t="shared" si="97"/>
        <v>#DIV/0!</v>
      </c>
    </row>
    <row r="120" spans="1:40" ht="15" customHeight="1" x14ac:dyDescent="0.25">
      <c r="A120" s="32"/>
      <c r="B120" s="32"/>
      <c r="C120" s="32"/>
      <c r="D120" s="32"/>
      <c r="E120" s="32"/>
      <c r="F120" s="32" t="s">
        <v>137</v>
      </c>
      <c r="G120" s="32"/>
      <c r="H120" s="32"/>
      <c r="I120" s="52">
        <v>2658</v>
      </c>
      <c r="J120" s="52">
        <v>2499.96</v>
      </c>
      <c r="K120" s="52">
        <f>ROUND((I120-J120),5)</f>
        <v>158.04</v>
      </c>
      <c r="L120" s="53">
        <f>ROUND(IF(J120=0,IF(I120=0,0,1),I120/J120),5)</f>
        <v>1.0632200000000001</v>
      </c>
      <c r="M120" s="54">
        <v>1200</v>
      </c>
      <c r="N120" s="52">
        <v>2499.96</v>
      </c>
      <c r="O120" s="52">
        <f>ROUND((M120-N120),5)</f>
        <v>-1299.96</v>
      </c>
      <c r="P120" s="53">
        <f>ROUND(IF(N120=0,IF(M120=0,0,1),M120/N120),5)</f>
        <v>0.48000999999999999</v>
      </c>
      <c r="Q120" s="54">
        <v>450</v>
      </c>
      <c r="R120" s="52">
        <v>0</v>
      </c>
      <c r="S120" s="52">
        <f>ROUND((Q120-R120),5)</f>
        <v>450</v>
      </c>
      <c r="T120" s="53">
        <f>ROUND(IF(R120=0,IF(Q120=0,0,1),Q120/R120),5)</f>
        <v>1</v>
      </c>
      <c r="U120" s="54">
        <v>2000</v>
      </c>
      <c r="V120" s="52">
        <v>2000.04</v>
      </c>
      <c r="W120" s="52">
        <f>ROUND((U120-V120),5)</f>
        <v>-0.04</v>
      </c>
      <c r="X120" s="53">
        <f>ROUND(IF(V120=0,IF(U120=0,0,1),U120/V120),5)</f>
        <v>0.99997999999999998</v>
      </c>
      <c r="Y120" s="54">
        <v>1300</v>
      </c>
      <c r="Z120" s="52">
        <v>2000.04</v>
      </c>
      <c r="AA120" s="52">
        <f>ROUND((Y120-Z120),5)</f>
        <v>-700.04</v>
      </c>
      <c r="AB120" s="53">
        <f>ROUND(IF(Z120=0,IF(Y120=0,0,1),Y120/Z120),5)</f>
        <v>0.64998999999999996</v>
      </c>
      <c r="AC120" s="54">
        <v>2000</v>
      </c>
      <c r="AD120" s="52">
        <v>2000</v>
      </c>
      <c r="AE120" s="52">
        <f>ROUND((AC120-AD120),5)</f>
        <v>0</v>
      </c>
      <c r="AF120" s="53">
        <f>ROUND(IF(AD120=0,IF(AC120=0,0,1),AC120/AD120),5)</f>
        <v>1</v>
      </c>
      <c r="AG120" s="55">
        <f t="shared" ref="AG120:AH125" si="103">ROUND(I120+M120+Q120+U120+Y120+AC120,5)</f>
        <v>9608</v>
      </c>
      <c r="AH120" s="55">
        <f t="shared" si="103"/>
        <v>11000</v>
      </c>
      <c r="AI120" s="55">
        <f t="shared" ref="AI120:AI125" si="104">ROUND((AG120-AH120),5)</f>
        <v>-1392</v>
      </c>
      <c r="AJ120" s="56">
        <f t="shared" ref="AJ120:AJ125" si="105">ROUND(IF(AH120=0,IF(AG120=0,0,1),AG120/AH120),5)</f>
        <v>0.87344999999999995</v>
      </c>
      <c r="AK120" s="57">
        <f t="shared" si="102"/>
        <v>1601.3333333333333</v>
      </c>
      <c r="AL120" s="58"/>
      <c r="AM120" s="58">
        <f t="shared" si="96"/>
        <v>1666.64</v>
      </c>
      <c r="AN120" s="58">
        <f t="shared" si="97"/>
        <v>2000.0266666666666</v>
      </c>
    </row>
    <row r="121" spans="1:40" ht="15" customHeight="1" x14ac:dyDescent="0.25">
      <c r="A121" s="32"/>
      <c r="B121" s="32"/>
      <c r="C121" s="32"/>
      <c r="D121" s="32"/>
      <c r="E121" s="32"/>
      <c r="F121" s="32" t="s">
        <v>182</v>
      </c>
      <c r="G121" s="32"/>
      <c r="H121" s="32"/>
      <c r="I121" s="52">
        <v>0</v>
      </c>
      <c r="J121" s="52">
        <v>999.96</v>
      </c>
      <c r="K121" s="52">
        <f>ROUND((I121-J121),5)</f>
        <v>-999.96</v>
      </c>
      <c r="L121" s="53">
        <f>ROUND(IF(J121=0,IF(I121=0,0,1),I121/J121),5)</f>
        <v>0</v>
      </c>
      <c r="M121" s="54">
        <v>675</v>
      </c>
      <c r="N121" s="52">
        <v>999.96</v>
      </c>
      <c r="O121" s="52">
        <f>ROUND((M121-N121),5)</f>
        <v>-324.95999999999998</v>
      </c>
      <c r="P121" s="53">
        <f>ROUND(IF(N121=0,IF(M121=0,0,1),M121/N121),5)</f>
        <v>0.67503000000000002</v>
      </c>
      <c r="Q121" s="54">
        <v>0</v>
      </c>
      <c r="R121" s="52">
        <v>0</v>
      </c>
      <c r="S121" s="52">
        <f>ROUND((Q121-R121),5)</f>
        <v>0</v>
      </c>
      <c r="T121" s="53">
        <f>ROUND(IF(R121=0,IF(Q121=0,0,1),Q121/R121),5)</f>
        <v>0</v>
      </c>
      <c r="U121" s="54">
        <v>0</v>
      </c>
      <c r="V121" s="52">
        <v>0</v>
      </c>
      <c r="W121" s="52">
        <f>ROUND((U121-V121),5)</f>
        <v>0</v>
      </c>
      <c r="X121" s="53">
        <f>ROUND(IF(V121=0,IF(U121=0,0,1),U121/V121),5)</f>
        <v>0</v>
      </c>
      <c r="Y121" s="54">
        <v>0</v>
      </c>
      <c r="Z121" s="52"/>
      <c r="AA121" s="52"/>
      <c r="AB121" s="53"/>
      <c r="AC121" s="54">
        <v>0</v>
      </c>
      <c r="AD121" s="52"/>
      <c r="AE121" s="52"/>
      <c r="AF121" s="53"/>
      <c r="AG121" s="55">
        <f t="shared" si="103"/>
        <v>675</v>
      </c>
      <c r="AH121" s="55">
        <f t="shared" si="103"/>
        <v>1999.92</v>
      </c>
      <c r="AI121" s="55">
        <f t="shared" si="104"/>
        <v>-1324.92</v>
      </c>
      <c r="AJ121" s="56">
        <f t="shared" si="105"/>
        <v>0.33750999999999998</v>
      </c>
      <c r="AK121" s="57">
        <f t="shared" si="102"/>
        <v>112.5</v>
      </c>
      <c r="AL121" s="58"/>
      <c r="AM121" s="58">
        <f t="shared" si="96"/>
        <v>666.64</v>
      </c>
      <c r="AN121" s="58">
        <f t="shared" si="97"/>
        <v>0</v>
      </c>
    </row>
    <row r="122" spans="1:40" ht="15" customHeight="1" x14ac:dyDescent="0.25">
      <c r="A122" s="32"/>
      <c r="B122" s="32"/>
      <c r="C122" s="32"/>
      <c r="D122" s="32"/>
      <c r="E122" s="32"/>
      <c r="F122" s="32" t="s">
        <v>183</v>
      </c>
      <c r="G122" s="32"/>
      <c r="H122" s="32"/>
      <c r="I122" s="52">
        <v>1500</v>
      </c>
      <c r="J122" s="52">
        <v>1500</v>
      </c>
      <c r="K122" s="52">
        <f>ROUND((I122-J122),5)</f>
        <v>0</v>
      </c>
      <c r="L122" s="53">
        <f>ROUND(IF(J122=0,IF(I122=0,0,1),I122/J122),5)</f>
        <v>1</v>
      </c>
      <c r="M122" s="54">
        <v>1250</v>
      </c>
      <c r="N122" s="52">
        <v>1250.04</v>
      </c>
      <c r="O122" s="52">
        <f>ROUND((M122-N122),5)</f>
        <v>-0.04</v>
      </c>
      <c r="P122" s="53">
        <f>ROUND(IF(N122=0,IF(M122=0,0,1),M122/N122),5)</f>
        <v>0.99997000000000003</v>
      </c>
      <c r="Q122" s="54">
        <v>0</v>
      </c>
      <c r="R122" s="52">
        <v>0</v>
      </c>
      <c r="S122" s="52">
        <f>ROUND((Q122-R122),5)</f>
        <v>0</v>
      </c>
      <c r="T122" s="53">
        <f>ROUND(IF(R122=0,IF(Q122=0,0,1),Q122/R122),5)</f>
        <v>0</v>
      </c>
      <c r="U122" s="54">
        <v>0</v>
      </c>
      <c r="V122" s="52">
        <v>0</v>
      </c>
      <c r="W122" s="52">
        <f>ROUND((U122-V122),5)</f>
        <v>0</v>
      </c>
      <c r="X122" s="53">
        <f>ROUND(IF(V122=0,IF(U122=0,0,1),U122/V122),5)</f>
        <v>0</v>
      </c>
      <c r="Y122" s="54">
        <v>0</v>
      </c>
      <c r="Z122" s="52"/>
      <c r="AA122" s="52"/>
      <c r="AB122" s="53"/>
      <c r="AC122" s="54">
        <v>0</v>
      </c>
      <c r="AD122" s="52"/>
      <c r="AE122" s="52"/>
      <c r="AF122" s="53"/>
      <c r="AG122" s="55">
        <f t="shared" si="103"/>
        <v>2750</v>
      </c>
      <c r="AH122" s="55">
        <f t="shared" si="103"/>
        <v>2750.04</v>
      </c>
      <c r="AI122" s="55">
        <f t="shared" si="104"/>
        <v>-0.04</v>
      </c>
      <c r="AJ122" s="56">
        <f t="shared" si="105"/>
        <v>0.99999000000000005</v>
      </c>
      <c r="AK122" s="57">
        <f t="shared" si="102"/>
        <v>458.33333333333331</v>
      </c>
      <c r="AL122" s="58"/>
      <c r="AM122" s="58">
        <f t="shared" si="96"/>
        <v>916.68</v>
      </c>
      <c r="AN122" s="58">
        <f t="shared" si="97"/>
        <v>0</v>
      </c>
    </row>
    <row r="123" spans="1:40" ht="15" customHeight="1" x14ac:dyDescent="0.25">
      <c r="A123" s="32"/>
      <c r="B123" s="32"/>
      <c r="C123" s="32"/>
      <c r="D123" s="32"/>
      <c r="E123" s="32"/>
      <c r="F123" s="32" t="s">
        <v>184</v>
      </c>
      <c r="G123" s="32"/>
      <c r="H123" s="32"/>
      <c r="I123" s="52">
        <v>0</v>
      </c>
      <c r="J123" s="52">
        <v>0</v>
      </c>
      <c r="K123" s="52">
        <f>ROUND((I123-J123),5)</f>
        <v>0</v>
      </c>
      <c r="L123" s="53">
        <f>ROUND(IF(J123=0,IF(I123=0,0,1),I123/J123),5)</f>
        <v>0</v>
      </c>
      <c r="M123" s="54">
        <v>0</v>
      </c>
      <c r="N123" s="52"/>
      <c r="O123" s="52"/>
      <c r="P123" s="53"/>
      <c r="Q123" s="54">
        <v>0</v>
      </c>
      <c r="R123" s="52"/>
      <c r="S123" s="52"/>
      <c r="T123" s="53"/>
      <c r="U123" s="54">
        <v>0</v>
      </c>
      <c r="V123" s="52"/>
      <c r="W123" s="52"/>
      <c r="X123" s="53"/>
      <c r="Y123" s="54">
        <v>0</v>
      </c>
      <c r="Z123" s="52"/>
      <c r="AA123" s="52"/>
      <c r="AB123" s="53"/>
      <c r="AC123" s="54">
        <v>0</v>
      </c>
      <c r="AD123" s="52"/>
      <c r="AE123" s="52"/>
      <c r="AF123" s="53"/>
      <c r="AG123" s="55">
        <f t="shared" si="103"/>
        <v>0</v>
      </c>
      <c r="AH123" s="55">
        <f t="shared" si="103"/>
        <v>0</v>
      </c>
      <c r="AI123" s="55">
        <f t="shared" si="104"/>
        <v>0</v>
      </c>
      <c r="AJ123" s="56">
        <f t="shared" si="105"/>
        <v>0</v>
      </c>
      <c r="AK123" s="57">
        <f t="shared" si="102"/>
        <v>0</v>
      </c>
      <c r="AL123" s="58"/>
      <c r="AM123" s="58">
        <f t="shared" si="96"/>
        <v>0</v>
      </c>
      <c r="AN123" s="58" t="e">
        <f t="shared" si="97"/>
        <v>#DIV/0!</v>
      </c>
    </row>
    <row r="124" spans="1:40" ht="15.75" customHeight="1" x14ac:dyDescent="0.25">
      <c r="A124" s="32"/>
      <c r="B124" s="32"/>
      <c r="C124" s="32"/>
      <c r="D124" s="32"/>
      <c r="E124" s="32"/>
      <c r="F124" s="32" t="s">
        <v>185</v>
      </c>
      <c r="G124" s="32"/>
      <c r="H124" s="32"/>
      <c r="I124" s="59">
        <v>0</v>
      </c>
      <c r="J124" s="59"/>
      <c r="K124" s="59"/>
      <c r="L124" s="60"/>
      <c r="M124" s="61">
        <v>75</v>
      </c>
      <c r="N124" s="59">
        <v>0</v>
      </c>
      <c r="O124" s="59">
        <f>ROUND((M124-N124),5)</f>
        <v>75</v>
      </c>
      <c r="P124" s="60">
        <f>ROUND(IF(N124=0,IF(M124=0,0,1),M124/N124),5)</f>
        <v>1</v>
      </c>
      <c r="Q124" s="61">
        <v>0</v>
      </c>
      <c r="R124" s="59">
        <v>999.96</v>
      </c>
      <c r="S124" s="59">
        <f>ROUND((Q124-R124),5)</f>
        <v>-999.96</v>
      </c>
      <c r="T124" s="60">
        <f>ROUND(IF(R124=0,IF(Q124=0,0,1),Q124/R124),5)</f>
        <v>0</v>
      </c>
      <c r="U124" s="61">
        <v>0</v>
      </c>
      <c r="V124" s="59">
        <v>0</v>
      </c>
      <c r="W124" s="59">
        <f>ROUND((U124-V124),5)</f>
        <v>0</v>
      </c>
      <c r="X124" s="60">
        <f>ROUND(IF(V124=0,IF(U124=0,0,1),U124/V124),5)</f>
        <v>0</v>
      </c>
      <c r="Y124" s="61">
        <v>0</v>
      </c>
      <c r="Z124" s="59"/>
      <c r="AA124" s="59"/>
      <c r="AB124" s="60"/>
      <c r="AC124" s="61">
        <v>0</v>
      </c>
      <c r="AD124" s="59"/>
      <c r="AE124" s="59"/>
      <c r="AF124" s="60"/>
      <c r="AG124" s="62">
        <f t="shared" si="103"/>
        <v>75</v>
      </c>
      <c r="AH124" s="62">
        <f t="shared" si="103"/>
        <v>999.96</v>
      </c>
      <c r="AI124" s="62">
        <f t="shared" si="104"/>
        <v>-924.96</v>
      </c>
      <c r="AJ124" s="63">
        <f t="shared" si="105"/>
        <v>7.4999999999999997E-2</v>
      </c>
      <c r="AK124" s="57">
        <f t="shared" si="102"/>
        <v>12.5</v>
      </c>
      <c r="AL124" s="58"/>
      <c r="AM124" s="58">
        <f t="shared" si="96"/>
        <v>499.98</v>
      </c>
      <c r="AN124" s="58">
        <f t="shared" si="97"/>
        <v>0</v>
      </c>
    </row>
    <row r="125" spans="1:40" ht="15" customHeight="1" x14ac:dyDescent="0.25">
      <c r="A125" s="32"/>
      <c r="B125" s="32"/>
      <c r="C125" s="32"/>
      <c r="D125" s="32"/>
      <c r="E125" s="32" t="s">
        <v>138</v>
      </c>
      <c r="F125" s="32"/>
      <c r="G125" s="32"/>
      <c r="H125" s="32"/>
      <c r="I125" s="69">
        <f>ROUND(SUM(I119:I124),5)</f>
        <v>4158</v>
      </c>
      <c r="J125" s="69">
        <f>ROUND(SUM(J119:J124),5)</f>
        <v>4999.92</v>
      </c>
      <c r="K125" s="69">
        <f>ROUND((I125-J125),5)</f>
        <v>-841.92</v>
      </c>
      <c r="L125" s="70">
        <f>ROUND(IF(J125=0,IF(I125=0,0,1),I125/J125),5)</f>
        <v>0.83160999999999996</v>
      </c>
      <c r="M125" s="71">
        <f>ROUND(SUM(M119:M124),5)</f>
        <v>3200</v>
      </c>
      <c r="N125" s="69">
        <f>ROUND(SUM(N119:N124),5)</f>
        <v>4749.96</v>
      </c>
      <c r="O125" s="69">
        <f>ROUND((M125-N125),5)</f>
        <v>-1549.96</v>
      </c>
      <c r="P125" s="70">
        <f>ROUND(IF(N125=0,IF(M125=0,0,1),M125/N125),5)</f>
        <v>0.67369000000000001</v>
      </c>
      <c r="Q125" s="71">
        <f>ROUND(SUM(Q119:Q124),5)</f>
        <v>450</v>
      </c>
      <c r="R125" s="69">
        <f>ROUND(SUM(R119:R124),5)</f>
        <v>999.96</v>
      </c>
      <c r="S125" s="69">
        <f>ROUND((Q125-R125),5)</f>
        <v>-549.96</v>
      </c>
      <c r="T125" s="70">
        <f>ROUND(IF(R125=0,IF(Q125=0,0,1),Q125/R125),5)</f>
        <v>0.45001999999999998</v>
      </c>
      <c r="U125" s="71">
        <f>ROUND(SUM(U119:U124),5)</f>
        <v>2000</v>
      </c>
      <c r="V125" s="69">
        <f>ROUND(SUM(V119:V124),5)</f>
        <v>2000.04</v>
      </c>
      <c r="W125" s="69">
        <f>ROUND((U125-V125),5)</f>
        <v>-0.04</v>
      </c>
      <c r="X125" s="70">
        <f>ROUND(IF(V125=0,IF(U125=0,0,1),U125/V125),5)</f>
        <v>0.99997999999999998</v>
      </c>
      <c r="Y125" s="71">
        <f>ROUND(SUM(Y119:Y124),5)</f>
        <v>1300</v>
      </c>
      <c r="Z125" s="69">
        <f>ROUND(SUM(Z119:Z124),5)</f>
        <v>2000.04</v>
      </c>
      <c r="AA125" s="69">
        <f>ROUND((Y125-Z125),5)</f>
        <v>-700.04</v>
      </c>
      <c r="AB125" s="70">
        <f>ROUND(IF(Z125=0,IF(Y125=0,0,1),Y125/Z125),5)</f>
        <v>0.64998999999999996</v>
      </c>
      <c r="AC125" s="71">
        <f>ROUND(SUM(AC119:AC124),5)</f>
        <v>2000</v>
      </c>
      <c r="AD125" s="69">
        <f>ROUND(SUM(AD119:AD124),5)</f>
        <v>2000</v>
      </c>
      <c r="AE125" s="69">
        <f>ROUND((AC125-AD125),5)</f>
        <v>0</v>
      </c>
      <c r="AF125" s="70">
        <f>ROUND(IF(AD125=0,IF(AC125=0,0,1),AC125/AD125),5)</f>
        <v>1</v>
      </c>
      <c r="AG125" s="72">
        <f t="shared" si="103"/>
        <v>13108</v>
      </c>
      <c r="AH125" s="72">
        <f t="shared" si="103"/>
        <v>16749.919999999998</v>
      </c>
      <c r="AI125" s="72">
        <f t="shared" si="104"/>
        <v>-3641.92</v>
      </c>
      <c r="AJ125" s="73">
        <f t="shared" si="105"/>
        <v>0.78256999999999999</v>
      </c>
      <c r="AK125" s="57">
        <f t="shared" si="102"/>
        <v>2184.6666666666665</v>
      </c>
      <c r="AL125" s="58"/>
      <c r="AM125" s="58">
        <f t="shared" si="96"/>
        <v>3583.28</v>
      </c>
      <c r="AN125" s="58">
        <f t="shared" si="97"/>
        <v>2000.0266666666666</v>
      </c>
    </row>
    <row r="126" spans="1:40" ht="15.75" customHeight="1" x14ac:dyDescent="0.25">
      <c r="A126" s="32"/>
      <c r="B126" s="32"/>
      <c r="C126" s="32"/>
      <c r="D126" s="32"/>
      <c r="E126" s="32" t="s">
        <v>186</v>
      </c>
      <c r="F126" s="32"/>
      <c r="G126" s="32"/>
      <c r="H126" s="32"/>
      <c r="I126" s="59">
        <v>1074.1300000000001</v>
      </c>
      <c r="J126" s="59"/>
      <c r="K126" s="59"/>
      <c r="L126" s="60"/>
      <c r="M126" s="61">
        <v>0</v>
      </c>
      <c r="N126" s="59"/>
      <c r="O126" s="59"/>
      <c r="P126" s="60"/>
      <c r="Q126" s="61">
        <v>0</v>
      </c>
      <c r="R126" s="59"/>
      <c r="S126" s="59"/>
      <c r="T126" s="60"/>
      <c r="U126" s="61">
        <v>0</v>
      </c>
      <c r="V126" s="59"/>
      <c r="W126" s="59"/>
      <c r="X126" s="60"/>
      <c r="Y126" s="61">
        <v>0</v>
      </c>
      <c r="Z126" s="59"/>
      <c r="AA126" s="59"/>
      <c r="AB126" s="60"/>
      <c r="AC126" s="61">
        <v>0</v>
      </c>
      <c r="AD126" s="59"/>
      <c r="AE126" s="59"/>
      <c r="AF126" s="60"/>
      <c r="AG126" s="62">
        <f>ROUND(I126+M126+Q126+U126+Y126+AC126,5)</f>
        <v>1074.1300000000001</v>
      </c>
      <c r="AH126" s="62"/>
      <c r="AI126" s="62"/>
      <c r="AJ126" s="63"/>
      <c r="AK126" s="57">
        <f t="shared" si="102"/>
        <v>179.02166666666668</v>
      </c>
      <c r="AL126" s="58"/>
      <c r="AM126" s="58" t="e">
        <f t="shared" si="96"/>
        <v>#DIV/0!</v>
      </c>
      <c r="AN126" s="58" t="e">
        <f t="shared" si="97"/>
        <v>#DIV/0!</v>
      </c>
    </row>
    <row r="127" spans="1:40" ht="15.75" customHeight="1" x14ac:dyDescent="0.25">
      <c r="A127" s="32"/>
      <c r="B127" s="32"/>
      <c r="C127" s="32"/>
      <c r="D127" s="32" t="s">
        <v>139</v>
      </c>
      <c r="E127" s="32"/>
      <c r="F127" s="32"/>
      <c r="G127" s="32"/>
      <c r="H127" s="32"/>
      <c r="I127" s="64">
        <f>ROUND(I17+SUM(I45:I46)+I54+I86+I118+SUM(I125:I126),5)</f>
        <v>582923.05000000005</v>
      </c>
      <c r="J127" s="64">
        <f>ROUND(J17+SUM(J45:J46)+J54+J86+J118+SUM(J125:J126),5)</f>
        <v>583273.07999999996</v>
      </c>
      <c r="K127" s="64">
        <f>ROUND((I127-J127),5)</f>
        <v>-350.03</v>
      </c>
      <c r="L127" s="65">
        <f>ROUND(IF(J127=0,IF(I127=0,0,1),I127/J127),5)</f>
        <v>0.99939999999999996</v>
      </c>
      <c r="M127" s="66">
        <f>ROUND(M17+SUM(M45:M46)+M54+M86+M118+SUM(M125:M126),5)</f>
        <v>592785.18000000005</v>
      </c>
      <c r="N127" s="64">
        <f>ROUND(N17+SUM(N45:N46)+N54+N86+N118+SUM(N125:N126),5)</f>
        <v>619564.96</v>
      </c>
      <c r="O127" s="64">
        <f>ROUND((M127-N127),5)</f>
        <v>-26779.78</v>
      </c>
      <c r="P127" s="65">
        <f>ROUND(IF(N127=0,IF(M127=0,0,1),M127/N127),5)</f>
        <v>0.95677999999999996</v>
      </c>
      <c r="Q127" s="66">
        <f>ROUND(Q17+SUM(Q45:Q46)+Q54+Q86+Q118+SUM(Q125:Q126),5)</f>
        <v>559459.89</v>
      </c>
      <c r="R127" s="64">
        <f>ROUND(R17+SUM(R45:R46)+R54+R86+R118+SUM(R125:R126),5)</f>
        <v>538062.04</v>
      </c>
      <c r="S127" s="64">
        <f>ROUND((Q127-R127),5)</f>
        <v>21397.85</v>
      </c>
      <c r="T127" s="65">
        <f>ROUND(IF(R127=0,IF(Q127=0,0,1),Q127/R127),5)</f>
        <v>1.0397700000000001</v>
      </c>
      <c r="U127" s="66">
        <f>ROUND(U17+SUM(U45:U46)+U54+U86+U118+SUM(U125:U126),5)</f>
        <v>575792.81000000006</v>
      </c>
      <c r="V127" s="64">
        <f>ROUND(V17+SUM(V45:V46)+V54+V86+V118+SUM(V125:V126),5)</f>
        <v>549458.36</v>
      </c>
      <c r="W127" s="64">
        <f>ROUND((U127-V127),5)</f>
        <v>26334.45</v>
      </c>
      <c r="X127" s="65">
        <f>ROUND(IF(V127=0,IF(U127=0,0,1),U127/V127),5)</f>
        <v>1.04793</v>
      </c>
      <c r="Y127" s="66">
        <f>ROUND(Y17+SUM(Y45:Y46)+Y54+Y86+Y118+SUM(Y125:Y126),5)</f>
        <v>563963.74</v>
      </c>
      <c r="Z127" s="64">
        <f>ROUND(Z17+SUM(Z45:Z46)+Z54+Z86+Z118+SUM(Z125:Z126),5)</f>
        <v>549926.24</v>
      </c>
      <c r="AA127" s="64">
        <f>ROUND((Y127-Z127),5)</f>
        <v>14037.5</v>
      </c>
      <c r="AB127" s="65">
        <f>ROUND(IF(Z127=0,IF(Y127=0,0,1),Y127/Z127),5)</f>
        <v>1.0255300000000001</v>
      </c>
      <c r="AC127" s="66">
        <f>ROUND(AC17+SUM(AC45:AC46)+AC54+AC86+AC118+SUM(AC125:AC126),5)</f>
        <v>415650.54</v>
      </c>
      <c r="AD127" s="64">
        <f>ROUND(AD17+SUM(AD45:AD46)+AD54+AD86+AD118+SUM(AD125:AD126),5)</f>
        <v>616119.12</v>
      </c>
      <c r="AE127" s="64">
        <f>ROUND((AC127-AD127),5)</f>
        <v>-200468.58</v>
      </c>
      <c r="AF127" s="65">
        <f>ROUND(IF(AD127=0,IF(AC127=0,0,1),AC127/AD127),5)</f>
        <v>0.67462999999999995</v>
      </c>
      <c r="AG127" s="67">
        <f>ROUND(I127+M127+Q127+U127+Y127+AC127,5)</f>
        <v>3290575.21</v>
      </c>
      <c r="AH127" s="67">
        <f>ROUND(J127+N127+R127+V127+Z127+AD127,5)</f>
        <v>3456403.8</v>
      </c>
      <c r="AI127" s="67">
        <f>ROUND((AG127-AH127),5)</f>
        <v>-165828.59</v>
      </c>
      <c r="AJ127" s="68">
        <f>ROUND(IF(AH127=0,IF(AG127=0,0,1),AG127/AH127),5)</f>
        <v>0.95201999999999998</v>
      </c>
      <c r="AK127" s="57">
        <f t="shared" si="102"/>
        <v>548429.20166666666</v>
      </c>
      <c r="AL127" s="58"/>
      <c r="AM127" s="58">
        <f t="shared" si="96"/>
        <v>580300.02666666673</v>
      </c>
      <c r="AN127" s="58">
        <f t="shared" si="97"/>
        <v>571834.57333333336</v>
      </c>
    </row>
    <row r="128" spans="1:40" ht="15" customHeight="1" x14ac:dyDescent="0.25">
      <c r="A128" s="32"/>
      <c r="B128" s="32" t="s">
        <v>140</v>
      </c>
      <c r="C128" s="32"/>
      <c r="D128" s="32"/>
      <c r="E128" s="32"/>
      <c r="F128" s="32"/>
      <c r="G128" s="32"/>
      <c r="H128" s="32"/>
      <c r="I128" s="69">
        <f>ROUND(I3+I16-I127,5)</f>
        <v>1611.08</v>
      </c>
      <c r="J128" s="69">
        <f>ROUND(J3+J16-J127,5)</f>
        <v>-11437.3</v>
      </c>
      <c r="K128" s="69">
        <f>ROUND((I128-J128),5)</f>
        <v>13048.38</v>
      </c>
      <c r="L128" s="70">
        <f>ROUND(IF(J128=0,IF(I128=0,0,1),I128/J128),5)</f>
        <v>-0.14086000000000001</v>
      </c>
      <c r="M128" s="71">
        <f>ROUND(M3+M16-M127,5)</f>
        <v>2056.69</v>
      </c>
      <c r="N128" s="69">
        <f>ROUND(N3+N16-N127,5)</f>
        <v>3935</v>
      </c>
      <c r="O128" s="69">
        <f>ROUND((M128-N128),5)</f>
        <v>-1878.31</v>
      </c>
      <c r="P128" s="70">
        <f>ROUND(IF(N128=0,IF(M128=0,0,1),M128/N128),5)</f>
        <v>0.52266999999999997</v>
      </c>
      <c r="Q128" s="71">
        <f>ROUND(Q3+Q16-Q127,5)</f>
        <v>32704.85</v>
      </c>
      <c r="R128" s="69">
        <f>ROUND(R3+R16-R127,5)</f>
        <v>-55862.04</v>
      </c>
      <c r="S128" s="69">
        <f>ROUND((Q128-R128),5)</f>
        <v>88566.89</v>
      </c>
      <c r="T128" s="70">
        <f>ROUND(IF(R128=0,IF(Q128=0,0,1),Q128/R128),5)</f>
        <v>-0.58545999999999998</v>
      </c>
      <c r="U128" s="71">
        <f>ROUND(U3+U16-U127,5)</f>
        <v>9114.18</v>
      </c>
      <c r="V128" s="69">
        <f>ROUND(V3+V16-V127,5)</f>
        <v>-24508.400000000001</v>
      </c>
      <c r="W128" s="69">
        <f>ROUND((U128-V128),5)</f>
        <v>33622.58</v>
      </c>
      <c r="X128" s="70">
        <f>ROUND(IF(V128=0,IF(U128=0,0,1),U128/V128),5)</f>
        <v>-0.37187999999999999</v>
      </c>
      <c r="Y128" s="71">
        <f>ROUND(Y3+Y16-Y127,5)</f>
        <v>78526.09</v>
      </c>
      <c r="Z128" s="69">
        <f>ROUND(Z3+Z16-Z127,5)</f>
        <v>-79926.28</v>
      </c>
      <c r="AA128" s="69">
        <f>ROUND((Y128-Z128),5)</f>
        <v>158452.37</v>
      </c>
      <c r="AB128" s="70">
        <f>ROUND(IF(Z128=0,IF(Y128=0,0,1),Y128/Z128),5)</f>
        <v>-0.98248000000000002</v>
      </c>
      <c r="AC128" s="71">
        <f>ROUND(AC3+AC16-AC127,5)</f>
        <v>-44196.82</v>
      </c>
      <c r="AD128" s="69">
        <f>ROUND(AD3+AD16-AD127,5)</f>
        <v>2596.88</v>
      </c>
      <c r="AE128" s="69">
        <f>ROUND((AC128-AD128),5)</f>
        <v>-46793.7</v>
      </c>
      <c r="AF128" s="70">
        <f>ROUND(IF(AD128=0,IF(AC128=0,0,1),AC128/AD128),5)</f>
        <v>-17.019200000000001</v>
      </c>
      <c r="AG128" s="72">
        <f>ROUND(I128+M128+Q128+U128+Y128+AC128,5)</f>
        <v>79816.070000000007</v>
      </c>
      <c r="AH128" s="72">
        <f>ROUND(J128+N128+R128+V128+Z128+AD128,5)</f>
        <v>-165202.14000000001</v>
      </c>
      <c r="AI128" s="72">
        <f>ROUND((AG128-AH128),5)</f>
        <v>245018.21</v>
      </c>
      <c r="AJ128" s="73">
        <f>ROUND(IF(AH128=0,IF(AG128=0,0,1),AG128/AH128),5)</f>
        <v>-0.48314000000000001</v>
      </c>
      <c r="AK128" s="57">
        <f t="shared" si="102"/>
        <v>13302.67833333333</v>
      </c>
      <c r="AL128" s="58"/>
      <c r="AM128" s="58">
        <f t="shared" si="96"/>
        <v>-21121.446666666667</v>
      </c>
      <c r="AN128" s="58">
        <f t="shared" si="97"/>
        <v>-33945.933333333327</v>
      </c>
    </row>
    <row r="129" spans="1:40" ht="15" customHeight="1" x14ac:dyDescent="0.25">
      <c r="A129" s="32"/>
      <c r="B129" s="32" t="s">
        <v>141</v>
      </c>
      <c r="C129" s="32"/>
      <c r="D129" s="32"/>
      <c r="E129" s="32"/>
      <c r="F129" s="32"/>
      <c r="G129" s="32"/>
      <c r="H129" s="32"/>
      <c r="I129" s="52"/>
      <c r="J129" s="52"/>
      <c r="K129" s="52"/>
      <c r="L129" s="53"/>
      <c r="M129" s="54"/>
      <c r="N129" s="52"/>
      <c r="O129" s="52"/>
      <c r="P129" s="53"/>
      <c r="Q129" s="54"/>
      <c r="R129" s="52"/>
      <c r="S129" s="52"/>
      <c r="T129" s="53"/>
      <c r="U129" s="54"/>
      <c r="V129" s="52"/>
      <c r="W129" s="52"/>
      <c r="X129" s="53"/>
      <c r="Y129" s="54"/>
      <c r="Z129" s="52"/>
      <c r="AA129" s="52"/>
      <c r="AB129" s="53"/>
      <c r="AC129" s="54"/>
      <c r="AD129" s="52"/>
      <c r="AE129" s="52"/>
      <c r="AF129" s="53"/>
      <c r="AG129" s="55"/>
      <c r="AH129" s="55"/>
      <c r="AI129" s="55"/>
      <c r="AJ129" s="56"/>
      <c r="AK129" s="57" t="e">
        <f t="shared" si="102"/>
        <v>#DIV/0!</v>
      </c>
      <c r="AL129" s="58"/>
      <c r="AM129" s="58" t="e">
        <f t="shared" si="96"/>
        <v>#DIV/0!</v>
      </c>
      <c r="AN129" s="58" t="e">
        <f t="shared" si="97"/>
        <v>#DIV/0!</v>
      </c>
    </row>
    <row r="130" spans="1:40" ht="15" customHeight="1" x14ac:dyDescent="0.25">
      <c r="A130" s="32"/>
      <c r="B130" s="32"/>
      <c r="C130" s="32" t="s">
        <v>142</v>
      </c>
      <c r="D130" s="32"/>
      <c r="E130" s="32"/>
      <c r="F130" s="32"/>
      <c r="G130" s="32"/>
      <c r="H130" s="32"/>
      <c r="I130" s="52"/>
      <c r="J130" s="52"/>
      <c r="K130" s="52"/>
      <c r="L130" s="53"/>
      <c r="M130" s="54"/>
      <c r="N130" s="52"/>
      <c r="O130" s="52"/>
      <c r="P130" s="53"/>
      <c r="Q130" s="54"/>
      <c r="R130" s="52"/>
      <c r="S130" s="52"/>
      <c r="T130" s="53"/>
      <c r="U130" s="54"/>
      <c r="V130" s="52"/>
      <c r="W130" s="52"/>
      <c r="X130" s="53"/>
      <c r="Y130" s="54"/>
      <c r="Z130" s="52"/>
      <c r="AA130" s="52"/>
      <c r="AB130" s="53"/>
      <c r="AC130" s="54"/>
      <c r="AD130" s="52"/>
      <c r="AE130" s="52"/>
      <c r="AF130" s="53"/>
      <c r="AG130" s="55"/>
      <c r="AH130" s="55"/>
      <c r="AI130" s="55"/>
      <c r="AJ130" s="56"/>
      <c r="AK130" s="57" t="e">
        <f t="shared" si="102"/>
        <v>#DIV/0!</v>
      </c>
      <c r="AL130" s="58"/>
      <c r="AM130" s="58" t="e">
        <f t="shared" si="96"/>
        <v>#DIV/0!</v>
      </c>
      <c r="AN130" s="58" t="e">
        <f t="shared" si="97"/>
        <v>#DIV/0!</v>
      </c>
    </row>
    <row r="131" spans="1:40" ht="15.75" customHeight="1" x14ac:dyDescent="0.25">
      <c r="A131" s="32"/>
      <c r="B131" s="32"/>
      <c r="C131" s="32"/>
      <c r="D131" s="32" t="s">
        <v>143</v>
      </c>
      <c r="E131" s="32"/>
      <c r="F131" s="32"/>
      <c r="G131" s="32"/>
      <c r="H131" s="32"/>
      <c r="I131" s="59">
        <v>0</v>
      </c>
      <c r="J131" s="59">
        <v>0</v>
      </c>
      <c r="K131" s="59">
        <f>ROUND((I131-J131),5)</f>
        <v>0</v>
      </c>
      <c r="L131" s="60">
        <f>ROUND(IF(J131=0,IF(I131=0,0,1),I131/J131),5)</f>
        <v>0</v>
      </c>
      <c r="M131" s="61">
        <v>0</v>
      </c>
      <c r="N131" s="59">
        <v>0</v>
      </c>
      <c r="O131" s="59">
        <f>ROUND((M131-N131),5)</f>
        <v>0</v>
      </c>
      <c r="P131" s="60">
        <f>ROUND(IF(N131=0,IF(M131=0,0,1),M131/N131),5)</f>
        <v>0</v>
      </c>
      <c r="Q131" s="61">
        <v>25</v>
      </c>
      <c r="R131" s="59">
        <v>-5000.04</v>
      </c>
      <c r="S131" s="59">
        <f>ROUND((Q131-R131),5)</f>
        <v>5025.04</v>
      </c>
      <c r="T131" s="60">
        <f>ROUND(IF(R131=0,IF(Q131=0,0,1),Q131/R131),5)</f>
        <v>-5.0000000000000001E-3</v>
      </c>
      <c r="U131" s="61">
        <v>5</v>
      </c>
      <c r="V131" s="59">
        <v>19999.990000000002</v>
      </c>
      <c r="W131" s="59">
        <f>ROUND((U131-V131),5)</f>
        <v>-19994.990000000002</v>
      </c>
      <c r="X131" s="60">
        <f>ROUND(IF(V131=0,IF(U131=0,0,1),U131/V131),5)</f>
        <v>2.5000000000000001E-4</v>
      </c>
      <c r="Y131" s="61">
        <v>0</v>
      </c>
      <c r="Z131" s="59">
        <v>0</v>
      </c>
      <c r="AA131" s="59">
        <f>ROUND((Y131-Z131),5)</f>
        <v>0</v>
      </c>
      <c r="AB131" s="60">
        <f>ROUND(IF(Z131=0,IF(Y131=0,0,1),Y131/Z131),5)</f>
        <v>0</v>
      </c>
      <c r="AC131" s="61">
        <v>0</v>
      </c>
      <c r="AD131" s="52"/>
      <c r="AE131" s="52"/>
      <c r="AF131" s="53"/>
      <c r="AG131" s="62">
        <f t="shared" ref="AG131:AH134" si="106">ROUND(I131+M131+Q131+U131+Y131+AC131,5)</f>
        <v>30</v>
      </c>
      <c r="AH131" s="62">
        <f t="shared" si="106"/>
        <v>14999.95</v>
      </c>
      <c r="AI131" s="62">
        <f>ROUND((AG131-AH131),5)</f>
        <v>-14969.95</v>
      </c>
      <c r="AJ131" s="63">
        <f>ROUND(IF(AH131=0,IF(AG131=0,0,1),AG131/AH131),5)</f>
        <v>2E-3</v>
      </c>
      <c r="AK131" s="57">
        <f t="shared" si="102"/>
        <v>5</v>
      </c>
      <c r="AL131" s="58"/>
      <c r="AM131" s="58">
        <f t="shared" si="96"/>
        <v>-1666.68</v>
      </c>
      <c r="AN131" s="58">
        <f t="shared" si="97"/>
        <v>9999.9950000000008</v>
      </c>
    </row>
    <row r="132" spans="1:40" ht="15.75" customHeight="1" x14ac:dyDescent="0.25">
      <c r="A132" s="32"/>
      <c r="B132" s="32"/>
      <c r="C132" s="32" t="s">
        <v>144</v>
      </c>
      <c r="D132" s="32"/>
      <c r="E132" s="32"/>
      <c r="F132" s="32"/>
      <c r="G132" s="32"/>
      <c r="H132" s="32"/>
      <c r="I132" s="64">
        <f>ROUND(SUM(I130:I131),5)</f>
        <v>0</v>
      </c>
      <c r="J132" s="64">
        <f>ROUND(SUM(J130:J131),5)</f>
        <v>0</v>
      </c>
      <c r="K132" s="64">
        <f>ROUND((I132-J132),5)</f>
        <v>0</v>
      </c>
      <c r="L132" s="65">
        <f>ROUND(IF(J132=0,IF(I132=0,0,1),I132/J132),5)</f>
        <v>0</v>
      </c>
      <c r="M132" s="66">
        <f>ROUND(SUM(M130:M131),5)</f>
        <v>0</v>
      </c>
      <c r="N132" s="64">
        <f>ROUND(SUM(N130:N131),5)</f>
        <v>0</v>
      </c>
      <c r="O132" s="64">
        <f>ROUND((M132-N132),5)</f>
        <v>0</v>
      </c>
      <c r="P132" s="65">
        <f>ROUND(IF(N132=0,IF(M132=0,0,1),M132/N132),5)</f>
        <v>0</v>
      </c>
      <c r="Q132" s="66">
        <f>ROUND(SUM(Q130:Q131),5)</f>
        <v>25</v>
      </c>
      <c r="R132" s="64">
        <f>ROUND(SUM(R130:R131),5)</f>
        <v>-5000.04</v>
      </c>
      <c r="S132" s="64">
        <f>ROUND((Q132-R132),5)</f>
        <v>5025.04</v>
      </c>
      <c r="T132" s="65">
        <f>ROUND(IF(R132=0,IF(Q132=0,0,1),Q132/R132),5)</f>
        <v>-5.0000000000000001E-3</v>
      </c>
      <c r="U132" s="66">
        <f>ROUND(SUM(U130:U131),5)</f>
        <v>5</v>
      </c>
      <c r="V132" s="64">
        <f>ROUND(SUM(V130:V131),5)</f>
        <v>19999.990000000002</v>
      </c>
      <c r="W132" s="64">
        <f>ROUND((U132-V132),5)</f>
        <v>-19994.990000000002</v>
      </c>
      <c r="X132" s="65">
        <f>ROUND(IF(V132=0,IF(U132=0,0,1),U132/V132),5)</f>
        <v>2.5000000000000001E-4</v>
      </c>
      <c r="Y132" s="66">
        <f>ROUND(SUM(Y130:Y131),5)</f>
        <v>0</v>
      </c>
      <c r="Z132" s="64">
        <f>ROUND(SUM(Z130:Z131),5)</f>
        <v>0</v>
      </c>
      <c r="AA132" s="64">
        <f>ROUND((Y132-Z132),5)</f>
        <v>0</v>
      </c>
      <c r="AB132" s="65">
        <f>ROUND(IF(Z132=0,IF(Y132=0,0,1),Y132/Z132),5)</f>
        <v>0</v>
      </c>
      <c r="AC132" s="66">
        <f>ROUND(SUM(AC130:AC131),5)</f>
        <v>0</v>
      </c>
      <c r="AD132" s="52"/>
      <c r="AE132" s="52"/>
      <c r="AF132" s="53"/>
      <c r="AG132" s="67">
        <f t="shared" si="106"/>
        <v>30</v>
      </c>
      <c r="AH132" s="67">
        <f t="shared" si="106"/>
        <v>14999.95</v>
      </c>
      <c r="AI132" s="67">
        <f>ROUND((AG132-AH132),5)</f>
        <v>-14969.95</v>
      </c>
      <c r="AJ132" s="68">
        <f>ROUND(IF(AH132=0,IF(AG132=0,0,1),AG132/AH132),5)</f>
        <v>2E-3</v>
      </c>
      <c r="AK132" s="57">
        <f t="shared" si="102"/>
        <v>5</v>
      </c>
      <c r="AL132" s="58"/>
      <c r="AM132" s="58">
        <f t="shared" si="96"/>
        <v>-1666.68</v>
      </c>
      <c r="AN132" s="58">
        <f t="shared" si="97"/>
        <v>9999.9950000000008</v>
      </c>
    </row>
    <row r="133" spans="1:40" ht="15.75" customHeight="1" x14ac:dyDescent="0.25">
      <c r="A133" s="32"/>
      <c r="B133" s="32" t="s">
        <v>145</v>
      </c>
      <c r="C133" s="32"/>
      <c r="D133" s="32"/>
      <c r="E133" s="32"/>
      <c r="F133" s="32"/>
      <c r="G133" s="32"/>
      <c r="H133" s="32"/>
      <c r="I133" s="64">
        <f>ROUND(I129-I132,5)</f>
        <v>0</v>
      </c>
      <c r="J133" s="64">
        <f>ROUND(J129-J132,5)</f>
        <v>0</v>
      </c>
      <c r="K133" s="64">
        <f>ROUND((I133-J133),5)</f>
        <v>0</v>
      </c>
      <c r="L133" s="65">
        <f>ROUND(IF(J133=0,IF(I133=0,0,1),I133/J133),5)</f>
        <v>0</v>
      </c>
      <c r="M133" s="66">
        <f>ROUND(M129-M132,5)</f>
        <v>0</v>
      </c>
      <c r="N133" s="64">
        <f>ROUND(N129-N132,5)</f>
        <v>0</v>
      </c>
      <c r="O133" s="64">
        <f>ROUND((M133-N133),5)</f>
        <v>0</v>
      </c>
      <c r="P133" s="65">
        <f>ROUND(IF(N133=0,IF(M133=0,0,1),M133/N133),5)</f>
        <v>0</v>
      </c>
      <c r="Q133" s="66">
        <f>ROUND(Q129-Q132,5)</f>
        <v>-25</v>
      </c>
      <c r="R133" s="64">
        <f>ROUND(R129-R132,5)</f>
        <v>5000.04</v>
      </c>
      <c r="S133" s="64">
        <f>ROUND((Q133-R133),5)</f>
        <v>-5025.04</v>
      </c>
      <c r="T133" s="65">
        <f>ROUND(IF(R133=0,IF(Q133=0,0,1),Q133/R133),5)</f>
        <v>-5.0000000000000001E-3</v>
      </c>
      <c r="U133" s="66">
        <f>ROUND(U129-U132,5)</f>
        <v>-5</v>
      </c>
      <c r="V133" s="64">
        <f>ROUND(V129-V132,5)</f>
        <v>-19999.990000000002</v>
      </c>
      <c r="W133" s="64">
        <f>ROUND((U133-V133),5)</f>
        <v>19994.990000000002</v>
      </c>
      <c r="X133" s="65">
        <f>ROUND(IF(V133=0,IF(U133=0,0,1),U133/V133),5)</f>
        <v>2.5000000000000001E-4</v>
      </c>
      <c r="Y133" s="66">
        <f>ROUND(Y129-Y132,5)</f>
        <v>0</v>
      </c>
      <c r="Z133" s="64">
        <f>ROUND(Z129-Z132,5)</f>
        <v>0</v>
      </c>
      <c r="AA133" s="64">
        <f>ROUND((Y133-Z133),5)</f>
        <v>0</v>
      </c>
      <c r="AB133" s="65">
        <f>ROUND(IF(Z133=0,IF(Y133=0,0,1),Y133/Z133),5)</f>
        <v>0</v>
      </c>
      <c r="AC133" s="66">
        <f>ROUND(AC129-AC132,5)</f>
        <v>0</v>
      </c>
      <c r="AD133" s="59"/>
      <c r="AE133" s="59"/>
      <c r="AF133" s="60"/>
      <c r="AG133" s="67">
        <f t="shared" si="106"/>
        <v>-30</v>
      </c>
      <c r="AH133" s="67">
        <f t="shared" si="106"/>
        <v>-14999.95</v>
      </c>
      <c r="AI133" s="67">
        <f>ROUND((AG133-AH133),5)</f>
        <v>14969.95</v>
      </c>
      <c r="AJ133" s="68">
        <f>ROUND(IF(AH133=0,IF(AG133=0,0,1),AG133/AH133),5)</f>
        <v>2E-3</v>
      </c>
      <c r="AK133" s="57">
        <f t="shared" si="102"/>
        <v>-5</v>
      </c>
      <c r="AL133" s="58"/>
      <c r="AM133" s="58">
        <f t="shared" si="96"/>
        <v>1666.68</v>
      </c>
      <c r="AN133" s="58">
        <f t="shared" si="97"/>
        <v>-9999.9950000000008</v>
      </c>
    </row>
    <row r="134" spans="1:40" ht="15.75" customHeight="1" x14ac:dyDescent="0.25">
      <c r="A134" s="32" t="s">
        <v>187</v>
      </c>
      <c r="B134" s="32"/>
      <c r="C134" s="32"/>
      <c r="D134" s="32"/>
      <c r="E134" s="32"/>
      <c r="F134" s="32"/>
      <c r="G134" s="32"/>
      <c r="H134" s="32"/>
      <c r="I134" s="74">
        <f>ROUND(I128+I133,5)</f>
        <v>1611.08</v>
      </c>
      <c r="J134" s="74">
        <f>ROUND(J128+J133,5)</f>
        <v>-11437.3</v>
      </c>
      <c r="K134" s="74">
        <f>ROUND((I134-J134),5)</f>
        <v>13048.38</v>
      </c>
      <c r="L134" s="75">
        <f>ROUND(IF(J134=0,IF(I134=0,0,1),I134/J134),5)</f>
        <v>-0.14086000000000001</v>
      </c>
      <c r="M134" s="76">
        <f>ROUND(M128+M133,5)</f>
        <v>2056.69</v>
      </c>
      <c r="N134" s="74">
        <f>ROUND(N128+N133,5)</f>
        <v>3935</v>
      </c>
      <c r="O134" s="74">
        <f>ROUND((M134-N134),5)</f>
        <v>-1878.31</v>
      </c>
      <c r="P134" s="75">
        <f>ROUND(IF(N134=0,IF(M134=0,0,1),M134/N134),5)</f>
        <v>0.52266999999999997</v>
      </c>
      <c r="Q134" s="76">
        <f>ROUND(Q128+Q133,5)</f>
        <v>32679.85</v>
      </c>
      <c r="R134" s="74">
        <f>ROUND(R128+R133,5)</f>
        <v>-50862</v>
      </c>
      <c r="S134" s="74">
        <f>ROUND((Q134-R134),5)</f>
        <v>83541.850000000006</v>
      </c>
      <c r="T134" s="75">
        <f>ROUND(IF(R134=0,IF(Q134=0,0,1),Q134/R134),5)</f>
        <v>-0.64251999999999998</v>
      </c>
      <c r="U134" s="76">
        <f>ROUND(U128+U133,5)</f>
        <v>9109.18</v>
      </c>
      <c r="V134" s="74">
        <f>ROUND(V128+V133,5)</f>
        <v>-44508.39</v>
      </c>
      <c r="W134" s="74">
        <f>ROUND((U134-V134),5)</f>
        <v>53617.57</v>
      </c>
      <c r="X134" s="75">
        <f>ROUND(IF(V134=0,IF(U134=0,0,1),U134/V134),5)</f>
        <v>-0.20466000000000001</v>
      </c>
      <c r="Y134" s="76">
        <f>ROUND(Y128+Y133,5)</f>
        <v>78526.09</v>
      </c>
      <c r="Z134" s="74">
        <f>ROUND(Z128+Z133,5)</f>
        <v>-79926.28</v>
      </c>
      <c r="AA134" s="74">
        <f>ROUND((Y134-Z134),5)</f>
        <v>158452.37</v>
      </c>
      <c r="AB134" s="75">
        <f>ROUND(IF(Z134=0,IF(Y134=0,0,1),Y134/Z134),5)</f>
        <v>-0.98248000000000002</v>
      </c>
      <c r="AC134" s="76">
        <f>ROUND(AC128+AC133,5)</f>
        <v>-44196.82</v>
      </c>
      <c r="AD134" s="74">
        <f>ROUND(AD128+AD133,5)</f>
        <v>2596.88</v>
      </c>
      <c r="AE134" s="74">
        <f>ROUND((AC134-AD134),5)</f>
        <v>-46793.7</v>
      </c>
      <c r="AF134" s="75">
        <f>ROUND(IF(AD134=0,IF(AC134=0,0,1),AC134/AD134),5)</f>
        <v>-17.019200000000001</v>
      </c>
      <c r="AG134" s="77">
        <f t="shared" si="106"/>
        <v>79786.070000000007</v>
      </c>
      <c r="AH134" s="77">
        <f t="shared" si="106"/>
        <v>-180202.09</v>
      </c>
      <c r="AI134" s="77">
        <f>ROUND((AG134-AH134),5)</f>
        <v>259988.16</v>
      </c>
      <c r="AJ134" s="78">
        <f>ROUND(IF(AH134=0,IF(AG134=0,0,1),AG134/AH134),5)</f>
        <v>-0.44275999999999999</v>
      </c>
      <c r="AK134" s="57">
        <f t="shared" si="102"/>
        <v>13297.67833333333</v>
      </c>
      <c r="AL134" s="58"/>
      <c r="AM134" s="58">
        <f t="shared" si="96"/>
        <v>-19454.766666666666</v>
      </c>
      <c r="AN134" s="58">
        <f t="shared" si="97"/>
        <v>-40612.596666666665</v>
      </c>
    </row>
    <row r="135" spans="1:40" ht="15.75" customHeight="1" x14ac:dyDescent="0.25">
      <c r="A135" s="79"/>
      <c r="B135" s="79"/>
      <c r="C135" s="79"/>
      <c r="D135" s="79"/>
      <c r="E135" s="79"/>
      <c r="F135" s="79"/>
      <c r="G135" s="79"/>
      <c r="H135" s="79"/>
      <c r="I135" s="80"/>
      <c r="J135" s="80"/>
      <c r="K135" s="80"/>
      <c r="L135" s="81"/>
      <c r="M135" s="82"/>
      <c r="N135" s="80"/>
      <c r="O135" s="80"/>
      <c r="P135" s="81"/>
      <c r="Q135" s="82"/>
      <c r="R135" s="80"/>
      <c r="S135" s="80"/>
      <c r="T135" s="81"/>
      <c r="U135" s="82"/>
      <c r="V135" s="80"/>
      <c r="W135" s="80"/>
      <c r="X135" s="81"/>
      <c r="Y135" s="82"/>
      <c r="Z135" s="80"/>
      <c r="AA135" s="80"/>
      <c r="AB135" s="81"/>
      <c r="AC135" s="82"/>
      <c r="AD135" s="80"/>
      <c r="AE135" s="80"/>
      <c r="AF135" s="81"/>
      <c r="AG135" s="83"/>
      <c r="AH135" s="83"/>
      <c r="AI135" s="83"/>
      <c r="AJ135" s="83"/>
      <c r="AK135" s="57"/>
      <c r="AL135" s="58"/>
      <c r="AM135" s="44"/>
      <c r="AN135" s="44"/>
    </row>
  </sheetData>
  <mergeCells count="1">
    <mergeCell ref="AK1:AN1"/>
  </mergeCells>
  <pageMargins left="0.7" right="0.7" top="0.75" bottom="0.75" header="0.1" footer="0.3"/>
  <pageSetup orientation="portrait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QuickBooks Desktop Export Tips</vt:lpstr>
      <vt:lpstr>22-23 proposal</vt:lpstr>
      <vt:lpstr>Sheet1</vt:lpstr>
      <vt:lpstr>6yr_comp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GTFF Treasurer</dc:creator>
  <cp:lastModifiedBy>GTFF Treasurer</cp:lastModifiedBy>
  <dcterms:created xsi:type="dcterms:W3CDTF">2022-05-27T22:54:53Z</dcterms:created>
  <dcterms:modified xsi:type="dcterms:W3CDTF">2022-07-03T19:23:20Z</dcterms:modified>
</cp:coreProperties>
</file>